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浦东新区2025年单位预算指标下达表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<sst xmlns="http://schemas.openxmlformats.org/spreadsheetml/2006/main" count="2908" uniqueCount="678">
  <si>
    <t xml:space="preserve">浦东新区2025年单位预算指标下达表
</t>
  </si>
  <si>
    <t>单位 ：</t>
  </si>
  <si>
    <t>上海市浦东新区人民政府塘桥街道办事处（本级）</t>
  </si>
  <si>
    <t>上海市浦东新区人民政府塘桥街道办事处</t>
  </si>
  <si>
    <t>表1-1：2025年单位预算收支平衡表</t>
  </si>
  <si>
    <t>上海市浦东新区塘桥街道办事处</t>
  </si>
  <si>
    <t/>
  </si>
  <si>
    <t>金额单位：万元（保留两位小数）</t>
  </si>
  <si>
    <t>收                          入</t>
  </si>
  <si>
    <t>支                     出</t>
  </si>
  <si>
    <t>项        目</t>
  </si>
  <si>
    <t>金额</t>
  </si>
  <si>
    <t>一、财政拨款收入</t>
  </si>
  <si>
    <t>一、基本支出</t>
  </si>
  <si>
    <t>1、一般公共预算拨款收入</t>
  </si>
  <si>
    <t>1、人员支出</t>
  </si>
  <si>
    <t>2、基金预算拨款收入</t>
  </si>
  <si>
    <t>2、公用支出</t>
  </si>
  <si>
    <t>3、国有资本经营预算拨款收入</t>
  </si>
  <si>
    <t>二、项目支出</t>
  </si>
  <si>
    <t>二、事业收入</t>
  </si>
  <si>
    <t>1、一般项目支出</t>
  </si>
  <si>
    <t>三、事业单位经营收入</t>
  </si>
  <si>
    <t>2、基建项目支出</t>
  </si>
  <si>
    <t>四、其他收入</t>
  </si>
  <si>
    <t>1、非税收入专户拨款收入</t>
  </si>
  <si>
    <t>2、社会保障基金专户拨款收入</t>
  </si>
  <si>
    <t>3、粮食风险基金专户拨款收入</t>
  </si>
  <si>
    <t>4、其他财政专户拨款收入</t>
  </si>
  <si>
    <t>5、其他收入</t>
  </si>
  <si>
    <t>当年收入合计</t>
  </si>
  <si>
    <t>当年支出合计</t>
  </si>
  <si>
    <t>用上年结余弥补当年收支差额</t>
  </si>
  <si>
    <t>年末结余</t>
  </si>
  <si>
    <t>平衡数</t>
  </si>
  <si>
    <t>表1-2：2025年单位预算收支平衡表</t>
  </si>
  <si>
    <t>行号</t>
  </si>
  <si>
    <t>单位</t>
  </si>
  <si>
    <t>可安排财力</t>
  </si>
  <si>
    <t>当年支出</t>
  </si>
  <si>
    <t>合计</t>
  </si>
  <si>
    <t>当年收入</t>
  </si>
  <si>
    <t>基本支出</t>
  </si>
  <si>
    <t>项目支出</t>
  </si>
  <si>
    <t>小计</t>
  </si>
  <si>
    <t>财政拨款收入</t>
  </si>
  <si>
    <t>其他收入</t>
  </si>
  <si>
    <t>一般公共预算拨款收入</t>
  </si>
  <si>
    <t>非税收入专户拨款收入</t>
  </si>
  <si>
    <t>社会保障基金专户拨款收入</t>
  </si>
  <si>
    <t>711001上海市浦东新区人民政府塘桥街道办事处</t>
  </si>
  <si>
    <t>表2：2025年单位预算收入指标下达表</t>
  </si>
  <si>
    <t>项    目</t>
  </si>
  <si>
    <t>基本支出拨款收入</t>
  </si>
  <si>
    <t>项目支出拨款收入</t>
  </si>
  <si>
    <t>人员支出拨款收入</t>
  </si>
  <si>
    <t>公用支出拨款收入</t>
  </si>
  <si>
    <t>一</t>
  </si>
  <si>
    <t>1</t>
  </si>
  <si>
    <t>2049999其他公共安全支出</t>
  </si>
  <si>
    <t>2070109群众文化</t>
  </si>
  <si>
    <t>2080299其他民政管理事务支出</t>
  </si>
  <si>
    <t>2080501行政单位离退休</t>
  </si>
  <si>
    <t>2080505机关事业单位基本养老保险缴费支出</t>
  </si>
  <si>
    <t>2080506机关事业单位职业年金缴费支出</t>
  </si>
  <si>
    <t>2080801死亡抚恤</t>
  </si>
  <si>
    <t>2081006养老服务</t>
  </si>
  <si>
    <t>2081199其他残疾人事业支出</t>
  </si>
  <si>
    <t>2089999其他社会保障和就业支出</t>
  </si>
  <si>
    <t>2100199其他卫生健康管理事务支出</t>
  </si>
  <si>
    <t>2100799其他计划生育事务支出</t>
  </si>
  <si>
    <t>2101101行政单位医疗</t>
  </si>
  <si>
    <t>2101103公务员医疗补助</t>
  </si>
  <si>
    <t>2120101行政运行</t>
  </si>
  <si>
    <t>2120104城管执法</t>
  </si>
  <si>
    <t>2120199其他城乡社区管理事务支出</t>
  </si>
  <si>
    <t>2150899其他支持中小企业发展和管理支出</t>
  </si>
  <si>
    <t>2210201住房公积金</t>
  </si>
  <si>
    <t>2210203购房补贴</t>
  </si>
  <si>
    <t>2249999其他灾害防治及应急管理支出</t>
  </si>
  <si>
    <t>2</t>
  </si>
  <si>
    <t>基金预算拨款收入</t>
  </si>
  <si>
    <t>3</t>
  </si>
  <si>
    <t>国有资本经营预算拨款收入</t>
  </si>
  <si>
    <t>二</t>
  </si>
  <si>
    <t>事业收入</t>
  </si>
  <si>
    <t>三</t>
  </si>
  <si>
    <t>事业单位经营收入</t>
  </si>
  <si>
    <t>四</t>
  </si>
  <si>
    <t xml:space="preserve">其他收入 </t>
  </si>
  <si>
    <t xml:space="preserve">粮食风险基金专户拨款收入 </t>
  </si>
  <si>
    <t>4</t>
  </si>
  <si>
    <t>其他财政专户拨款收入</t>
  </si>
  <si>
    <t>5</t>
  </si>
  <si>
    <t>①</t>
  </si>
  <si>
    <t>上级补助收入</t>
  </si>
  <si>
    <t>②</t>
  </si>
  <si>
    <t xml:space="preserve">附属单位上缴收入 </t>
  </si>
  <si>
    <t>③</t>
  </si>
  <si>
    <t>其他</t>
  </si>
  <si>
    <t>表3：2025年单位预算支出指标下达表（单位预算支出分资金渠道）</t>
  </si>
  <si>
    <t>类</t>
  </si>
  <si>
    <t>款</t>
  </si>
  <si>
    <t>项</t>
  </si>
  <si>
    <t>预算数</t>
  </si>
  <si>
    <t>资金平衡渠道</t>
  </si>
  <si>
    <t>财政拨款支出</t>
  </si>
  <si>
    <t>事业收入安排支出</t>
  </si>
  <si>
    <t>事业单位经营收入安排支出</t>
  </si>
  <si>
    <t>其他资金支出</t>
  </si>
  <si>
    <t>结余安
排支出</t>
  </si>
  <si>
    <t>人员支出</t>
  </si>
  <si>
    <t>公用支出</t>
  </si>
  <si>
    <t>一般项目</t>
  </si>
  <si>
    <t>基建项目</t>
  </si>
  <si>
    <t>一般公共预算拨款支出</t>
  </si>
  <si>
    <t>基金预算拨款支出</t>
  </si>
  <si>
    <t>国有资本经营预算拨款支出</t>
  </si>
  <si>
    <t>非税收入专户拨款支出</t>
  </si>
  <si>
    <t>社会保障基金专户拨款支出</t>
  </si>
  <si>
    <t>粮食风险基金专户拨款支出</t>
  </si>
  <si>
    <t>其他财政专户拨款支出</t>
  </si>
  <si>
    <t>其他收入安排支出</t>
  </si>
  <si>
    <t>204公共安全支出</t>
  </si>
  <si>
    <t xml:space="preserve">  20499其他公共安全支出</t>
  </si>
  <si>
    <t>207文化旅游体育与传媒支出</t>
  </si>
  <si>
    <t xml:space="preserve">  20701文化和旅游</t>
  </si>
  <si>
    <t>208社会保障和就业支出</t>
  </si>
  <si>
    <t xml:space="preserve">  20802民政管理事务</t>
  </si>
  <si>
    <t xml:space="preserve">  20805行政事业单位养老支出</t>
  </si>
  <si>
    <t xml:space="preserve">  20807就业补助</t>
  </si>
  <si>
    <t>2080799其他就业补助支出</t>
  </si>
  <si>
    <t xml:space="preserve">  20808抚恤</t>
  </si>
  <si>
    <t xml:space="preserve">  20810社会福利</t>
  </si>
  <si>
    <t xml:space="preserve">  20811残疾人事业</t>
  </si>
  <si>
    <t xml:space="preserve">  20899其他社会保障和就业支出</t>
  </si>
  <si>
    <t>210卫生健康支出</t>
  </si>
  <si>
    <t xml:space="preserve">  21001卫生健康管理事务</t>
  </si>
  <si>
    <t xml:space="preserve">  21007计划生育事务</t>
  </si>
  <si>
    <t xml:space="preserve">  21011行政事业单位医疗</t>
  </si>
  <si>
    <t>212城乡社区支出</t>
  </si>
  <si>
    <t xml:space="preserve">  21201城乡社区管理事务</t>
  </si>
  <si>
    <t>215资源勘探工业信息等支出</t>
  </si>
  <si>
    <t xml:space="preserve">  21508支持中小企业发展和管理支出</t>
  </si>
  <si>
    <t>221住房保障支出</t>
  </si>
  <si>
    <t xml:space="preserve">  22102住房改革支出</t>
  </si>
  <si>
    <t>224灾害防治及应急管理支出</t>
  </si>
  <si>
    <t xml:space="preserve">  22499其他灾害防治及应急管理支出</t>
  </si>
  <si>
    <t>表4：2025年单位预算支出指标下达表（单位预算基本支出和项目支出分资金渠道）</t>
  </si>
  <si>
    <t>总计</t>
  </si>
  <si>
    <t xml:space="preserve">基本支出 </t>
  </si>
  <si>
    <t>基金预算
拨款支出</t>
  </si>
  <si>
    <t>表5-1：2025年支出预算双维分类表（政府预算支出经济分类；一般公共预算支出）</t>
  </si>
  <si>
    <t>金额单位：万元</t>
  </si>
  <si>
    <t>政府预算支出经济分类（类）</t>
  </si>
  <si>
    <t>政府预算支出经济分类（款）</t>
  </si>
  <si>
    <t>支出功能分类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</si>
  <si>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</si>
  <si>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</si>
  <si>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</si>
  <si>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</si>
  <si>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</si>
  <si>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</si>
  <si>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</si>
  <si>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</si>
  <si>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</si>
  <si>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</si>
  <si>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</si>
  <si>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</si>
  <si>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</si>
  <si>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</si>
  <si>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</si>
  <si>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</si>
  <si>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</si>
  <si>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</si>
  <si>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</si>
  <si>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</si>
  <si>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</si>
  <si>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501机关工资福利支出</t>
  </si>
  <si>
    <t>50101工资奖金津补贴</t>
  </si>
  <si>
    <t>50102社会保障缴费</t>
  </si>
  <si>
    <t>50103住房公积金</t>
  </si>
  <si>
    <t>50199其他工资福利支出</t>
  </si>
  <si>
    <t>502机关商品和服务支出</t>
  </si>
  <si>
    <t>50201办公经费</t>
  </si>
  <si>
    <t>50202会议费</t>
  </si>
  <si>
    <t>50206公务接待费</t>
  </si>
  <si>
    <t>50207因公出国（境）费用</t>
  </si>
  <si>
    <t>50208公务用车运行维护费</t>
  </si>
  <si>
    <t>50209维修（护）费</t>
  </si>
  <si>
    <t>50299其他商品和服务支出</t>
  </si>
  <si>
    <t>503机关资本性支出（一）</t>
  </si>
  <si>
    <t>50306设备购置</t>
  </si>
  <si>
    <t>509对个人和家庭的补助</t>
  </si>
  <si>
    <t>50901社会福利和救助</t>
  </si>
  <si>
    <t>50905离退休费</t>
  </si>
  <si>
    <t>表5-2：2025年支出预算双维分类表（单位预算支出经济分类；一般公共预算支出）</t>
  </si>
  <si>
    <t>部门预算支出经济分类（类）</t>
  </si>
  <si>
    <t>部门预算支出经济分类（款）</t>
  </si>
  <si>
    <t>301工资福利支出</t>
  </si>
  <si>
    <t>30101基本工资</t>
  </si>
  <si>
    <t>30102津贴补贴</t>
  </si>
  <si>
    <t>30103奖金</t>
  </si>
  <si>
    <t>30108机关事业单位基本养老保险缴费</t>
  </si>
  <si>
    <t>30109职业年金缴费</t>
  </si>
  <si>
    <t>30110职工基本医疗保险缴费</t>
  </si>
  <si>
    <t>30111公务员医疗补助缴费</t>
  </si>
  <si>
    <t>30112其他社会保障缴费</t>
  </si>
  <si>
    <t>30113住房公积金</t>
  </si>
  <si>
    <t>30199其他工资福利支出</t>
  </si>
  <si>
    <t>302商品和服务支出</t>
  </si>
  <si>
    <t>30201办公费</t>
  </si>
  <si>
    <t>30202印刷费</t>
  </si>
  <si>
    <t>30207邮电费</t>
  </si>
  <si>
    <t>30209物业管理费</t>
  </si>
  <si>
    <t>30211差旅费</t>
  </si>
  <si>
    <t>30212因公出国（境）费用</t>
  </si>
  <si>
    <t>30213维修(护)费</t>
  </si>
  <si>
    <t>30214租赁费</t>
  </si>
  <si>
    <t>30215会议费</t>
  </si>
  <si>
    <t>30217公务接待费</t>
  </si>
  <si>
    <t>30228工会经费</t>
  </si>
  <si>
    <t>30229福利费</t>
  </si>
  <si>
    <t>30231公务用车运行维护费</t>
  </si>
  <si>
    <t>30239其他交通费用</t>
  </si>
  <si>
    <t>30299其他商品和服务支出</t>
  </si>
  <si>
    <t>303对个人和家庭的补助</t>
  </si>
  <si>
    <t>30302退休费</t>
  </si>
  <si>
    <t>30304抚恤金</t>
  </si>
  <si>
    <t>310资本性支出</t>
  </si>
  <si>
    <t>31002办公设备购置</t>
  </si>
  <si>
    <t>表6：2025年单位预算项目支出下达表</t>
  </si>
  <si>
    <t>支出功能分类
（类/款/项)</t>
  </si>
  <si>
    <t>项目名称</t>
  </si>
  <si>
    <t>构成内容</t>
  </si>
  <si>
    <t>明细内容</t>
  </si>
  <si>
    <t>2025年</t>
  </si>
  <si>
    <t>纳入政府
采购金额</t>
  </si>
  <si>
    <t>绩效情况</t>
  </si>
  <si>
    <t>专项资金
项目</t>
  </si>
  <si>
    <t>经常性
项  目</t>
  </si>
  <si>
    <t>一次性
项  目</t>
  </si>
  <si>
    <t>待分配
预  算</t>
  </si>
  <si>
    <t>20499其他公共安全支出</t>
  </si>
  <si>
    <t>司法工作经费</t>
  </si>
  <si>
    <t>是</t>
  </si>
  <si>
    <t>法治建设经费</t>
  </si>
  <si>
    <t>阵地建设</t>
  </si>
  <si>
    <t>司法信访窗口法律服务</t>
  </si>
  <si>
    <t>街道法律顾问</t>
  </si>
  <si>
    <t>居委法律顾问</t>
  </si>
  <si>
    <t>人民调解</t>
  </si>
  <si>
    <t>滨江一品苑资金监管法律服务费</t>
  </si>
  <si>
    <t>20701文化和旅游</t>
  </si>
  <si>
    <t>社区宣统文化工作经费</t>
  </si>
  <si>
    <t>宣传文明工作</t>
  </si>
  <si>
    <t>阵地建设及运营</t>
  </si>
  <si>
    <t>精神文明建设</t>
  </si>
  <si>
    <t>社区报刊</t>
  </si>
  <si>
    <t>新媒体运营</t>
  </si>
  <si>
    <t>志愿者服务</t>
  </si>
  <si>
    <t>文明行为培育</t>
  </si>
  <si>
    <t>社区及主题宣传</t>
  </si>
  <si>
    <t>文化中心功能提升</t>
  </si>
  <si>
    <t>群文活动工作</t>
  </si>
  <si>
    <t>图书馆经费</t>
  </si>
  <si>
    <t>塘桥街道群众才艺秀</t>
  </si>
  <si>
    <t>文化中心延时服务</t>
  </si>
  <si>
    <t>非遗传承与保护</t>
  </si>
  <si>
    <t>群众文化活动</t>
  </si>
  <si>
    <t>新时代文明实践项目品牌培育</t>
  </si>
  <si>
    <t>塘桥围棋赛</t>
  </si>
  <si>
    <t>塘桥体育赛事</t>
  </si>
  <si>
    <t>体育场地保险</t>
  </si>
  <si>
    <t>群众体育活动</t>
  </si>
  <si>
    <t>社区体育设施维巡</t>
  </si>
  <si>
    <t>社区统战工作</t>
  </si>
  <si>
    <t>统战活动</t>
  </si>
  <si>
    <t>民族团结进步协会工作</t>
  </si>
  <si>
    <t>科普教育工作</t>
  </si>
  <si>
    <t>社区科普</t>
  </si>
  <si>
    <t>社校联动</t>
  </si>
  <si>
    <t>社区学校运营经费</t>
  </si>
  <si>
    <t>托幼托育工作等</t>
  </si>
  <si>
    <t>未成年人思想道德建设</t>
  </si>
  <si>
    <t>宝宝屋运维</t>
  </si>
  <si>
    <t>20802民政管理事务</t>
  </si>
  <si>
    <t>社会保障项目</t>
  </si>
  <si>
    <t>民政劳动事务管理经费</t>
  </si>
  <si>
    <t>招聘会</t>
  </si>
  <si>
    <t>创业服务</t>
  </si>
  <si>
    <t>保稳定促就业经费</t>
  </si>
  <si>
    <t>就业创业工作</t>
  </si>
  <si>
    <t>残疾人工作</t>
  </si>
  <si>
    <t>阳光心园管理服务人员经费</t>
  </si>
  <si>
    <t>退役军人事务</t>
  </si>
  <si>
    <t>退役军人事务（双拥）</t>
  </si>
  <si>
    <t>三阳基地运营</t>
  </si>
  <si>
    <t>20807就业补助</t>
  </si>
  <si>
    <t>公共服务类万人就业项目（原五项事权）</t>
  </si>
  <si>
    <t>社区助老服务公益性岗位薪酬及社保等</t>
  </si>
  <si>
    <t>社区“四保”公益性岗位转制成本及社保等</t>
  </si>
  <si>
    <t>街面辅助岗位薪酬及社保等</t>
  </si>
  <si>
    <t>专业辅助岗位薪酬及社保等</t>
  </si>
  <si>
    <t>村居辅助岗位薪酬及社保等</t>
  </si>
  <si>
    <t>20808抚恤</t>
  </si>
  <si>
    <t>其他社会保障经费</t>
  </si>
  <si>
    <t>抚恤金</t>
  </si>
  <si>
    <t>死亡抚恤</t>
  </si>
  <si>
    <t>20810社会福利</t>
  </si>
  <si>
    <t>老龄养老服务</t>
  </si>
  <si>
    <t>综合为老服务中心一体化运营</t>
  </si>
  <si>
    <t>宁阳老年人日间服务项目</t>
  </si>
  <si>
    <t>居家养老服务项目</t>
  </si>
  <si>
    <t>助老、乐老、维老项目</t>
  </si>
  <si>
    <t>老龄关爱项目</t>
  </si>
  <si>
    <t>居家养老服务补贴</t>
  </si>
  <si>
    <t>20811残疾人事业</t>
  </si>
  <si>
    <t>残疾人就业保障金</t>
  </si>
  <si>
    <t>残疾人就业保障支出</t>
  </si>
  <si>
    <t>公共服务类万人就业项目（残疾人项目）</t>
  </si>
  <si>
    <t>社区助残服务公益性岗位薪酬及社保等</t>
  </si>
  <si>
    <t>20899其他社会保障和就业支出</t>
  </si>
  <si>
    <t>慈善救助帮困</t>
  </si>
  <si>
    <t>慈善超市及爱心公益项目运营</t>
  </si>
  <si>
    <t>综合帮扶</t>
  </si>
  <si>
    <t>社区基金等</t>
  </si>
  <si>
    <t>21001卫生健康管理事务</t>
  </si>
  <si>
    <t>社区服务工作经费</t>
  </si>
  <si>
    <t>公共卫生健康经费</t>
  </si>
  <si>
    <t>动物防疫</t>
  </si>
  <si>
    <t>爱国卫生</t>
  </si>
  <si>
    <t>社区病媒生物防制</t>
  </si>
  <si>
    <t>社区公共卫生和健康促进服务</t>
  </si>
  <si>
    <t>献血工作</t>
  </si>
  <si>
    <t>救护培训</t>
  </si>
  <si>
    <t>21007计划生育事务</t>
  </si>
  <si>
    <t>计划生育经费</t>
  </si>
  <si>
    <t>独生子女补贴发放</t>
  </si>
  <si>
    <t>宣传及活动</t>
  </si>
  <si>
    <t>未成年保护工作</t>
  </si>
  <si>
    <t>信息系统运维</t>
  </si>
  <si>
    <t>失独家庭服务关爱</t>
  </si>
  <si>
    <t>21201城乡社区管理事务</t>
  </si>
  <si>
    <t>党政工作经费</t>
  </si>
  <si>
    <t>财务管理经费</t>
  </si>
  <si>
    <t>审计服务</t>
  </si>
  <si>
    <t>内控风险评估报告和内控评价报告</t>
  </si>
  <si>
    <t>街道内部控制规范化建设</t>
  </si>
  <si>
    <t>固定资产评估处置</t>
  </si>
  <si>
    <t>预算绩效管理</t>
  </si>
  <si>
    <t>预算项目评审</t>
  </si>
  <si>
    <t>财务工作经费</t>
  </si>
  <si>
    <t>综合管理经费</t>
  </si>
  <si>
    <t>后勤保障</t>
  </si>
  <si>
    <t>塘桥年鉴</t>
  </si>
  <si>
    <t>街道志</t>
  </si>
  <si>
    <t>档案管理</t>
  </si>
  <si>
    <t>等保测评</t>
  </si>
  <si>
    <t>政府开放日活动</t>
  </si>
  <si>
    <t>项目咨询</t>
  </si>
  <si>
    <t>办公设备设施维修维护</t>
  </si>
  <si>
    <t>电脑网络综合维护服务</t>
  </si>
  <si>
    <t>信息化综合运维</t>
  </si>
  <si>
    <t>社区自治工作经费</t>
  </si>
  <si>
    <t>居委会经费</t>
  </si>
  <si>
    <t>居委会办公经费</t>
  </si>
  <si>
    <t>居委会自治金工作经费</t>
  </si>
  <si>
    <t>居委会非坐班成员补贴</t>
  </si>
  <si>
    <t>社区自治共治</t>
  </si>
  <si>
    <t>社区自治共治项目</t>
  </si>
  <si>
    <t>居民自治金项目规范运行</t>
  </si>
  <si>
    <t>结伴同行</t>
  </si>
  <si>
    <t>业委会法律服务</t>
  </si>
  <si>
    <t>“家门口”服务</t>
  </si>
  <si>
    <t>“家门口”服务站运维</t>
  </si>
  <si>
    <t>购买特保服务</t>
  </si>
  <si>
    <t>特保辅助服务</t>
  </si>
  <si>
    <t>城运管理辅助服务</t>
  </si>
  <si>
    <t>综合管理辅助服务</t>
  </si>
  <si>
    <t>社区治安辅助服务</t>
  </si>
  <si>
    <t>市容管理辅助服务（第一季度）</t>
  </si>
  <si>
    <t>市容管理辅助服务（第二至第四季度）</t>
  </si>
  <si>
    <t>陆家嘴焕彩水环管理项目（第一季度）</t>
  </si>
  <si>
    <t>陆家嘴焕彩水环管理项目（第二至第四季度）</t>
  </si>
  <si>
    <t>应急管理工作经费</t>
  </si>
  <si>
    <t>处置应急突发事件费用</t>
  </si>
  <si>
    <t>社区党建工作经费</t>
  </si>
  <si>
    <t>党组织建设经费</t>
  </si>
  <si>
    <t>党建宣传</t>
  </si>
  <si>
    <t>居民区党建</t>
  </si>
  <si>
    <t>两新组织党建</t>
  </si>
  <si>
    <t>区域化党建</t>
  </si>
  <si>
    <t>居民区党员教育活动经费</t>
  </si>
  <si>
    <t>干部队伍建设经费</t>
  </si>
  <si>
    <t>两新党组织兼职委员补贴</t>
  </si>
  <si>
    <t>居民区党组织不坐班委员津贴、体检</t>
  </si>
  <si>
    <t>社区工作者及居民区考核</t>
  </si>
  <si>
    <t>人才工作</t>
  </si>
  <si>
    <t>塘桥“五老”先锋宣讲团项目</t>
  </si>
  <si>
    <t>人事管理工作</t>
  </si>
  <si>
    <t>全员综合能力提升、后备干部能力素质提升</t>
  </si>
  <si>
    <t>全员综合能力提升培训</t>
  </si>
  <si>
    <t>政府聘用辅助人员经费</t>
  </si>
  <si>
    <t>社工经费</t>
  </si>
  <si>
    <t>薪酬</t>
  </si>
  <si>
    <t>工会经费</t>
  </si>
  <si>
    <t>公用经费</t>
  </si>
  <si>
    <t>福利费</t>
  </si>
  <si>
    <t>邮电费</t>
  </si>
  <si>
    <t>居、村干部经费</t>
  </si>
  <si>
    <t>其他工资福利支出</t>
  </si>
  <si>
    <t>纪检监察工作经费</t>
  </si>
  <si>
    <t>廉政建设经费</t>
  </si>
  <si>
    <t>廉政示范点建设</t>
  </si>
  <si>
    <t>廉政教育宣传等</t>
  </si>
  <si>
    <t>人武工作经费</t>
  </si>
  <si>
    <t>人武经费</t>
  </si>
  <si>
    <t>兵役工作经费</t>
  </si>
  <si>
    <t>国防教育与宣传</t>
  </si>
  <si>
    <t>民防工作经费</t>
  </si>
  <si>
    <t>国防动员工作经费</t>
  </si>
  <si>
    <t>社区管理工作经费</t>
  </si>
  <si>
    <t>城管工作经费</t>
  </si>
  <si>
    <t>城管执法宣传</t>
  </si>
  <si>
    <t>城管综合整治费</t>
  </si>
  <si>
    <t>城管服装费</t>
  </si>
  <si>
    <t>城管执法装备器材购置费</t>
  </si>
  <si>
    <t>社区保障工作</t>
  </si>
  <si>
    <t>公共区域综合管理</t>
  </si>
  <si>
    <t>林长制系列主题宣传培训</t>
  </si>
  <si>
    <t>林地绿地资源“一张图”数据处理</t>
  </si>
  <si>
    <t>林长制绿地绿化及设施提升服务</t>
  </si>
  <si>
    <t>条线工作经费</t>
  </si>
  <si>
    <t>林长制工作经费</t>
  </si>
  <si>
    <t>市容门责工作经费</t>
  </si>
  <si>
    <t>小区管理工作</t>
  </si>
  <si>
    <t>小区综合治理</t>
  </si>
  <si>
    <t>既有多层住宅加装电梯工程监理</t>
  </si>
  <si>
    <t>上海市安全发展和综合减灾示范居村经费</t>
  </si>
  <si>
    <t>物业管理规范化建设</t>
  </si>
  <si>
    <t>业委会工作指导及规范化运作评价</t>
  </si>
  <si>
    <t>老旧小区物业管理达标补贴</t>
  </si>
  <si>
    <t>老旧小区建筑垃圾清运</t>
  </si>
  <si>
    <t>市容环境管理工作</t>
  </si>
  <si>
    <t>托底整治费</t>
  </si>
  <si>
    <t>绿色社区创建</t>
  </si>
  <si>
    <t>户外招牌安全检测服务</t>
  </si>
  <si>
    <t>综合整治（五违整治）</t>
  </si>
  <si>
    <t>道路红线外及三不管区域环境整治</t>
  </si>
  <si>
    <t>街道大件垃圾临时堆放点管理服务</t>
  </si>
  <si>
    <t>道路、公共区域及公共设施黑色广告乱张贴整治</t>
  </si>
  <si>
    <t>居住区垃圾分类实效测评达标保障补贴</t>
  </si>
  <si>
    <t>居住区垃圾箱房微更新</t>
  </si>
  <si>
    <t>垃圾分类实效管理提升与宣传培训服务</t>
  </si>
  <si>
    <t>居住区垃圾投放点小包垃圾监管服务</t>
  </si>
  <si>
    <t>老旧小区湿垃圾“以桶换桶”驳运</t>
  </si>
  <si>
    <t>沿街商铺垃圾上门收集</t>
  </si>
  <si>
    <t>垃圾分类精品示范居住区创建辅助服务</t>
  </si>
  <si>
    <t>“沪尚回收”运营及惠民服务点设置</t>
  </si>
  <si>
    <t>人大政协联络活动经费</t>
  </si>
  <si>
    <t>人大联络</t>
  </si>
  <si>
    <t>人大联络活动</t>
  </si>
  <si>
    <t>人大阵地建设</t>
  </si>
  <si>
    <t>政协活动</t>
  </si>
  <si>
    <t>政协活动经费</t>
  </si>
  <si>
    <t>政协服务站建设</t>
  </si>
  <si>
    <t>工青妇工作经费</t>
  </si>
  <si>
    <t>总工会工作经费</t>
  </si>
  <si>
    <t>活动及服务经费</t>
  </si>
  <si>
    <t>社会化工会工作者人员经费</t>
  </si>
  <si>
    <t>团工委工作经费</t>
  </si>
  <si>
    <t>爱心暑（寒）托班</t>
  </si>
  <si>
    <t>团组织建设</t>
  </si>
  <si>
    <t>团组织活动</t>
  </si>
  <si>
    <t>妇联工作经费</t>
  </si>
  <si>
    <t>妇女工作经费</t>
  </si>
  <si>
    <t>家庭建设工作经费</t>
  </si>
  <si>
    <t>小区内综合整治</t>
  </si>
  <si>
    <t>老旧小区设备设施改造</t>
  </si>
  <si>
    <t>公共设施维护维修</t>
  </si>
  <si>
    <t>老旧小区房屋整新</t>
  </si>
  <si>
    <t>零星维修</t>
  </si>
  <si>
    <t>以直管公房为主的修缮项目（航运、微山新村等小区屋面及相关设施改造）</t>
  </si>
  <si>
    <t>茂兴路55弄、塘桥新路182弄1号楼应急维修</t>
  </si>
  <si>
    <t>老旧小区安防、技防设施更新改造</t>
  </si>
  <si>
    <t>安防、技防设施更新改造</t>
  </si>
  <si>
    <t>小区外综合整治</t>
  </si>
  <si>
    <t>街面设施设备改造</t>
  </si>
  <si>
    <t>无主市政设施托底</t>
  </si>
  <si>
    <t>街区环境改造</t>
  </si>
  <si>
    <t>缤纷社区建设</t>
  </si>
  <si>
    <t>美丽街区建设</t>
  </si>
  <si>
    <t>社区平安工作经费</t>
  </si>
  <si>
    <t>平安建设</t>
  </si>
  <si>
    <t>治安综合治理</t>
  </si>
  <si>
    <t>平安设施维护</t>
  </si>
  <si>
    <t>消防指导服务</t>
  </si>
  <si>
    <t>一级微型消防站</t>
  </si>
  <si>
    <t>消防设施巡查及更新</t>
  </si>
  <si>
    <t>联勤联动工作</t>
  </si>
  <si>
    <t>人口办移动采集流量服务项目</t>
  </si>
  <si>
    <t>平安志愿者</t>
  </si>
  <si>
    <t>物资保障等</t>
  </si>
  <si>
    <t>维稳信访工作</t>
  </si>
  <si>
    <t>信访工作经费</t>
  </si>
  <si>
    <t>重要节点稳控</t>
  </si>
  <si>
    <t>浦阳居委逸品雅苑专项稳控经费</t>
  </si>
  <si>
    <t>社区功能性配套设施改造</t>
  </si>
  <si>
    <t>办公用房维修</t>
  </si>
  <si>
    <t>各办公场所应急维修费用</t>
  </si>
  <si>
    <t>综合档案室修缮</t>
  </si>
  <si>
    <t>人防指挥中心-设备购置</t>
  </si>
  <si>
    <t>指挥系统</t>
  </si>
  <si>
    <t>公共场所文体设施更新改造</t>
  </si>
  <si>
    <t>电子屏更换及维修</t>
  </si>
  <si>
    <t>社区宣传栏更新改造</t>
  </si>
  <si>
    <t>居民区健身苑点器材更新</t>
  </si>
  <si>
    <t>生活文化服务等功能设施修缮改造</t>
  </si>
  <si>
    <t>以前年度工程尾款及质保金等</t>
  </si>
  <si>
    <t>便民服务设施维修</t>
  </si>
  <si>
    <t>无障碍设施建设</t>
  </si>
  <si>
    <t>塘桥居民活动室改造</t>
  </si>
  <si>
    <t>南浦办公用房、居民活动室改造</t>
  </si>
  <si>
    <t>茂兴居委微山三村活动室改造</t>
  </si>
  <si>
    <t>428号停车场建设项目</t>
  </si>
  <si>
    <t>电动自行车停放场所整改经费</t>
  </si>
  <si>
    <t>年初部门待分配</t>
  </si>
  <si>
    <t>部门年初待分配预算</t>
  </si>
  <si>
    <t>21508支持中小企业发展和管理支出</t>
  </si>
  <si>
    <t>社区营商环境工作经费</t>
  </si>
  <si>
    <t>企业服务沟通协调经费</t>
  </si>
  <si>
    <t>惠企政策宣传</t>
  </si>
  <si>
    <t>重点企业走访活动经费</t>
  </si>
  <si>
    <t>支持企业发展活动</t>
  </si>
  <si>
    <t>为企服务活动经费</t>
  </si>
  <si>
    <t>营商中心运营服务</t>
  </si>
  <si>
    <t>协税办工作经费</t>
  </si>
  <si>
    <t>协税服务经费</t>
  </si>
  <si>
    <t>22499其他灾害防治及应急管理支出</t>
  </si>
  <si>
    <t>消防实事项目</t>
  </si>
  <si>
    <t>台式计算机</t>
  </si>
  <si>
    <t>液晶显示器</t>
  </si>
  <si>
    <t>基础软件</t>
  </si>
  <si>
    <t>多功能一体机</t>
  </si>
  <si>
    <t>空调机</t>
  </si>
  <si>
    <t>消防站设备</t>
  </si>
  <si>
    <t>建设费用</t>
  </si>
  <si>
    <t>表7：2025年单位政府采购预算明细表</t>
  </si>
  <si>
    <t>单位：上海市浦东新区塘桥街道办事处</t>
  </si>
  <si>
    <t>支出功能分类（类/款/项）</t>
  </si>
  <si>
    <t>采购目录</t>
  </si>
  <si>
    <t>采购完成时间</t>
  </si>
  <si>
    <t>采购模式</t>
  </si>
  <si>
    <t>经费类型</t>
  </si>
  <si>
    <t>数量</t>
  </si>
  <si>
    <t>其中：</t>
  </si>
  <si>
    <t>结余安排支出</t>
  </si>
  <si>
    <t>C05010400-养老服务</t>
  </si>
  <si>
    <t>其他经常性项目</t>
  </si>
  <si>
    <t>办公设备购置费</t>
  </si>
  <si>
    <t>彩色打印机</t>
  </si>
  <si>
    <t>A02021004-A4 彩色打印机</t>
  </si>
  <si>
    <t>A02020400-多功能一体机</t>
  </si>
  <si>
    <t>黑白打印机</t>
  </si>
  <si>
    <t>A02021003-A4 黑白打印机</t>
  </si>
  <si>
    <t>空调</t>
  </si>
  <si>
    <t>A02061804-空调机</t>
  </si>
  <si>
    <t>碎纸机</t>
  </si>
  <si>
    <t>A02021301-碎纸机</t>
  </si>
  <si>
    <t>显示器</t>
  </si>
  <si>
    <t>A02021104-液晶显示器</t>
  </si>
  <si>
    <t>保险费</t>
  </si>
  <si>
    <t>公务用车保险费</t>
  </si>
  <si>
    <t>C18040102-财产保险服务</t>
  </si>
  <si>
    <t>办公用房物业管理费</t>
  </si>
  <si>
    <t>食堂管理费</t>
  </si>
  <si>
    <t>C99000000-其他服务</t>
  </si>
  <si>
    <t>物业管理费（街道、老年中心、综治中心、文化中心保安、保洁、绿化）</t>
  </si>
  <si>
    <t>C21040000-物业管理服务</t>
  </si>
  <si>
    <t>办公费</t>
  </si>
  <si>
    <t>复印纸</t>
  </si>
  <si>
    <t>A05040101-复印纸</t>
  </si>
  <si>
    <t>办公用房租赁费</t>
  </si>
  <si>
    <t>488号房租租赁费</t>
  </si>
  <si>
    <t>C21020000-房屋租赁服务</t>
  </si>
  <si>
    <t>77号房租</t>
  </si>
  <si>
    <t>印刷费</t>
  </si>
  <si>
    <t>街道印刷费</t>
  </si>
  <si>
    <t>C23090199-其他印刷服务</t>
  </si>
  <si>
    <t>维修费</t>
  </si>
  <si>
    <t>公务用车维修保养费</t>
  </si>
  <si>
    <t>C23120301-车辆维修和保养服务</t>
  </si>
  <si>
    <t>燃油费</t>
  </si>
  <si>
    <t>公务用车加油费</t>
  </si>
  <si>
    <t>C23120302-车辆加油、添加燃料服务</t>
  </si>
  <si>
    <t>C20031000-评价咨询服务</t>
  </si>
  <si>
    <t>C23030000-审计服务</t>
  </si>
  <si>
    <t>C20030800-预算绩效评价咨询服务</t>
  </si>
  <si>
    <t>C05020100-社区治理服务</t>
  </si>
  <si>
    <t>其他一次性项目</t>
  </si>
  <si>
    <t>A08060301-基础软件</t>
  </si>
  <si>
    <t>A02010105-台式计算机</t>
  </si>
  <si>
    <t>表8：2025年政府购买服务预算明细表</t>
  </si>
  <si>
    <t>编制单位：上海市浦东新区塘桥街道办事处</t>
  </si>
  <si>
    <t>目录编码</t>
  </si>
  <si>
    <t>是否存量政府购买服务项目</t>
  </si>
  <si>
    <t>其他资
金支出</t>
  </si>
  <si>
    <t>204-公共安全支出</t>
  </si>
  <si>
    <t>20499-其他公共安全支出</t>
  </si>
  <si>
    <t>2049999-其他公共安全支出</t>
  </si>
  <si>
    <t>B0101-法律顾问服务</t>
  </si>
  <si>
    <t>否</t>
  </si>
  <si>
    <t>B0102-法律咨询服务</t>
  </si>
  <si>
    <t>207-文化旅游体育与传媒支出</t>
  </si>
  <si>
    <t>20701-文化和旅游</t>
  </si>
  <si>
    <t>2070109-群众文化</t>
  </si>
  <si>
    <t>A0401-儿童福利服务</t>
  </si>
  <si>
    <t>A0803-文物和文化保护服务</t>
  </si>
  <si>
    <t>A0902-体育场馆服务</t>
  </si>
  <si>
    <t>A0802-群众文化活动服务</t>
  </si>
  <si>
    <t>A0901-体育组织服务</t>
  </si>
  <si>
    <t>A1502-公共公益宣传服务</t>
  </si>
  <si>
    <t>A1005-志愿服务活动管理服务</t>
  </si>
  <si>
    <t>208-社会保障和就业支出</t>
  </si>
  <si>
    <t>20802-民政管理事务</t>
  </si>
  <si>
    <t>2080299-其他民政管理事务支出</t>
  </si>
  <si>
    <t>A0301-就业指导服务</t>
  </si>
  <si>
    <t>A0406-残疾人服务</t>
  </si>
  <si>
    <t>20810-社会福利</t>
  </si>
  <si>
    <t>2081006-养老服务</t>
  </si>
  <si>
    <t>A0402-基本养老服务</t>
  </si>
  <si>
    <t>20899-其他社会保障和就业支出</t>
  </si>
  <si>
    <t>2089999-其他社会保障和就业支出</t>
  </si>
  <si>
    <t>A0404-扶贫济困服务</t>
  </si>
  <si>
    <t>210-卫生健康支出</t>
  </si>
  <si>
    <t>21001-卫生健康管理事务</t>
  </si>
  <si>
    <t>2100199-其他卫生健康管理事务支出</t>
  </si>
  <si>
    <t>A0501-传染病防控服务</t>
  </si>
  <si>
    <t>21007-计划生育事务</t>
  </si>
  <si>
    <t>2100799-其他计划生育事务支出</t>
  </si>
  <si>
    <t>A0405-优抚安置服务</t>
  </si>
  <si>
    <t>B1001-机关信息系统开发与维护服务</t>
  </si>
  <si>
    <t>212-城乡社区支出</t>
  </si>
  <si>
    <t>21201-城乡社区管理事务</t>
  </si>
  <si>
    <t>2120101-行政运行</t>
  </si>
  <si>
    <t>B1107-其他适合通过市场化方式提供的后勤服务</t>
  </si>
  <si>
    <t>B1102-物业管理服务</t>
  </si>
  <si>
    <t>综治食堂管理费</t>
  </si>
  <si>
    <t>B1106-租赁服务</t>
  </si>
  <si>
    <t>日常维修（护）费</t>
  </si>
  <si>
    <t>财务平台系统运维服务</t>
  </si>
  <si>
    <t>固定资产系统维护费</t>
  </si>
  <si>
    <t>浦东新区公务员（参公人员）信息管理软件</t>
  </si>
  <si>
    <t>社工信息管理系统运维</t>
  </si>
  <si>
    <t>塘桥街道一体化业务管理平台运维项目</t>
  </si>
  <si>
    <t>B1101-维修保养服务</t>
  </si>
  <si>
    <t>B1104-印刷和出版服务</t>
  </si>
  <si>
    <t>2120104-城管执法</t>
  </si>
  <si>
    <t>2120199-其他城乡社区管理事务支出</t>
  </si>
  <si>
    <t>B0702-评估和评价服务</t>
  </si>
  <si>
    <t>B0302-审计服务</t>
  </si>
  <si>
    <t>B1202-档案管理服务</t>
  </si>
  <si>
    <t>B0801-咨询服务</t>
  </si>
  <si>
    <t>A0201-课程研究与开发服务</t>
  </si>
  <si>
    <t>A0202-学生体育活动组织实施服务</t>
  </si>
  <si>
    <t>A1001-社区治理服务</t>
  </si>
  <si>
    <t>竞争性磋商</t>
  </si>
  <si>
    <t>A0304-人才服务</t>
  </si>
  <si>
    <t>B0202-社会调查服务</t>
  </si>
  <si>
    <t>A0606-环境保护成果交流与管理服务</t>
  </si>
  <si>
    <t>A1101-公共设施管理服务</t>
  </si>
  <si>
    <t>A0101-公共安全隐患排查治理服务</t>
  </si>
  <si>
    <t>A0604-废弃物处理服务</t>
  </si>
  <si>
    <t>A1002-社会组织建设与管理服务</t>
  </si>
  <si>
    <t>215-资源勘探工业信息等支出</t>
  </si>
  <si>
    <t>21508-支持中小企业发展和管理支出</t>
  </si>
  <si>
    <t>2150899-其他支持中小企业发展和管理支出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</si>
</sst>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#,##0.00&quot;&quot;"/>
    <numFmt numFmtId="177" formatCode="0&quot;.&quot;0,&quot;&quot;"/>
    <numFmt numFmtId="178" formatCode="[=0]&quot;&quot;;0.00&quot;&quot;"/>
  </numFmts>
  <fonts count="38">
    <font>
      <sz val="11"/>
      <name val="Calibri"/>
      <charset val="134"/>
    </font>
    <font>
      <sz val="14"/>
      <name val="黑体"/>
      <charset val="134"/>
    </font>
    <font>
      <sz val="14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4"/>
      <color rgb="FF000000"/>
      <name val="黑体"/>
      <charset val="134"/>
    </font>
    <font>
      <sz val="10"/>
      <color rgb="FF000000"/>
      <name val="黑体"/>
      <charset val="134"/>
    </font>
    <font>
      <b/>
      <sz val="10"/>
      <color rgb="FF000000"/>
      <name val="黑体"/>
      <charset val="134"/>
    </font>
    <font>
      <b/>
      <sz val="10"/>
      <name val="黑体"/>
      <charset val="134"/>
    </font>
    <font>
      <sz val="10"/>
      <color rgb="FF000100"/>
      <name val="黑体"/>
      <charset val="134"/>
    </font>
    <font>
      <sz val="12"/>
      <name val="黑体"/>
      <charset val="134"/>
    </font>
    <font>
      <sz val="10"/>
      <color rgb="FF000100"/>
      <name val="宋体"/>
      <charset val="134"/>
    </font>
    <font>
      <b/>
      <sz val="14"/>
      <name val="黑体"/>
      <charset val="134"/>
    </font>
    <font>
      <b/>
      <sz val="36"/>
      <color rgb="FF000000"/>
      <name val="黑体"/>
      <charset val="134"/>
    </font>
    <font>
      <b/>
      <sz val="36"/>
      <name val="黑体"/>
      <charset val="134"/>
    </font>
    <font>
      <b/>
      <sz val="26"/>
      <name val="黑体"/>
      <charset val="134"/>
    </font>
    <font>
      <sz val="12"/>
      <name val="宋体"/>
      <charset val="134"/>
    </font>
    <font>
      <b/>
      <sz val="3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0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60">
    <xf numFmtId="0" fontId="0" fillId="0" borderId="0" xfId="0" applyProtection="1"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5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NumberFormat="1" applyFont="1" applyBorder="1" applyAlignment="1" applyProtection="1">
      <alignment horizontal="right" vertical="center"/>
      <protection locked="0"/>
    </xf>
    <xf numFmtId="0" fontId="6" fillId="0" borderId="3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 applyProtection="1">
      <alignment horizontal="left"/>
      <protection locked="0"/>
    </xf>
    <xf numFmtId="0" fontId="6" fillId="0" borderId="0" xfId="0" applyNumberFormat="1" applyFont="1" applyAlignment="1" applyProtection="1">
      <alignment horizontal="right"/>
      <protection locked="0"/>
    </xf>
    <xf numFmtId="0" fontId="6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 applyProtection="1">
      <alignment horizontal="right" vertical="center"/>
      <protection locked="0"/>
    </xf>
    <xf numFmtId="176" fontId="3" fillId="0" borderId="3" xfId="0" applyNumberFormat="1" applyFont="1" applyBorder="1" applyAlignment="1" applyProtection="1">
      <alignment horizontal="right" vertical="center"/>
      <protection locked="0"/>
    </xf>
    <xf numFmtId="176" fontId="6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 applyProtection="1">
      <alignment horizontal="right" vertical="center" wrapText="1"/>
      <protection locked="0"/>
    </xf>
    <xf numFmtId="176" fontId="9" fillId="0" borderId="3" xfId="0" applyNumberFormat="1" applyFont="1" applyBorder="1" applyAlignment="1" applyProtection="1">
      <alignment horizontal="right" vertical="center"/>
      <protection locked="0"/>
    </xf>
    <xf numFmtId="176" fontId="3" fillId="0" borderId="2" xfId="0" applyNumberFormat="1" applyFont="1" applyBorder="1" applyAlignment="1" applyProtection="1">
      <alignment horizontal="right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 wrapText="1"/>
      <protection locked="0"/>
    </xf>
    <xf numFmtId="176" fontId="9" fillId="0" borderId="9" xfId="0" applyNumberFormat="1" applyFont="1" applyBorder="1" applyAlignment="1" applyProtection="1">
      <alignment horizontal="right" vertical="center" wrapText="1"/>
      <protection locked="0"/>
    </xf>
    <xf numFmtId="176" fontId="9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0" fillId="0" borderId="1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/>
    <xf numFmtId="0" fontId="0" fillId="0" borderId="0" xfId="0"/>
    <xf numFmtId="0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 wrapText="1"/>
    </xf>
    <xf numFmtId="0" fontId="0" fillId="0" borderId="0" xfId="0" applyFill="1"/>
    <xf numFmtId="0" fontId="3" fillId="0" borderId="8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right"/>
    </xf>
    <xf numFmtId="0" fontId="6" fillId="0" borderId="11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/>
    </xf>
    <xf numFmtId="176" fontId="3" fillId="0" borderId="3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Border="1" applyAlignment="1" applyProtection="1">
      <alignment horizontal="left" vertical="center" wrapText="1"/>
      <protection locked="0"/>
    </xf>
    <xf numFmtId="176" fontId="3" fillId="0" borderId="0" xfId="0" applyNumberFormat="1" applyFont="1" applyBorder="1" applyAlignment="1" applyProtection="1">
      <alignment horizontal="right" vertical="center" wrapText="1"/>
      <protection locked="0"/>
    </xf>
    <xf numFmtId="176" fontId="3" fillId="0" borderId="0" xfId="0" applyNumberFormat="1" applyFont="1" applyBorder="1" applyAlignment="1" applyProtection="1">
      <alignment horizontal="left" vertical="center" wrapText="1" indent="1"/>
      <protection locked="0"/>
    </xf>
    <xf numFmtId="0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protection locked="0"/>
    </xf>
    <xf numFmtId="0" fontId="6" fillId="0" borderId="1" xfId="0" applyNumberFormat="1" applyFont="1" applyBorder="1" applyAlignment="1" applyProtection="1">
      <alignment horizontal="center"/>
      <protection locked="0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176" fontId="3" fillId="0" borderId="9" xfId="0" applyNumberFormat="1" applyFont="1" applyBorder="1" applyAlignment="1" applyProtection="1">
      <alignment horizontal="right" vertical="center" wrapText="1"/>
      <protection locked="0"/>
    </xf>
    <xf numFmtId="177" fontId="5" fillId="0" borderId="0" xfId="0" applyNumberFormat="1" applyFont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177" fontId="4" fillId="0" borderId="0" xfId="0" applyNumberFormat="1" applyFont="1" applyAlignment="1" applyProtection="1">
      <alignment horizontal="left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right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right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" xfId="0" applyNumberFormat="1" applyFont="1" applyBorder="1" applyAlignment="1" applyProtection="1">
      <alignment horizontal="left" vertical="center"/>
      <protection locked="0"/>
    </xf>
    <xf numFmtId="176" fontId="6" fillId="0" borderId="3" xfId="0" applyNumberFormat="1" applyFont="1" applyBorder="1" applyAlignment="1" applyProtection="1">
      <alignment horizontal="right"/>
      <protection locked="0"/>
    </xf>
    <xf numFmtId="178" fontId="6" fillId="0" borderId="3" xfId="0" applyNumberFormat="1" applyFont="1" applyBorder="1" applyAlignment="1" applyProtection="1">
      <alignment horizontal="right"/>
      <protection locked="0"/>
    </xf>
    <xf numFmtId="0" fontId="9" fillId="0" borderId="3" xfId="0" applyNumberFormat="1" applyFont="1" applyBorder="1" applyAlignment="1" applyProtection="1">
      <alignment horizontal="left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8" fontId="9" fillId="0" borderId="3" xfId="0" applyNumberFormat="1" applyFont="1" applyBorder="1" applyAlignment="1">
      <alignment horizontal="right" vertical="center" wrapText="1"/>
    </xf>
    <xf numFmtId="176" fontId="6" fillId="0" borderId="3" xfId="0" applyNumberFormat="1" applyFont="1" applyBorder="1" applyAlignment="1">
      <alignment horizontal="right"/>
    </xf>
    <xf numFmtId="178" fontId="9" fillId="0" borderId="3" xfId="0" applyNumberFormat="1" applyFont="1" applyFill="1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9" fillId="0" borderId="10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0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right"/>
      <protection locked="0"/>
    </xf>
    <xf numFmtId="0" fontId="6" fillId="0" borderId="15" xfId="0" applyNumberFormat="1" applyFont="1" applyBorder="1" applyAlignment="1" applyProtection="1">
      <alignment horizontal="center" vertical="center" wrapText="1"/>
      <protection locked="0"/>
    </xf>
    <xf numFmtId="0" fontId="6" fillId="0" borderId="16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3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NumberFormat="1" applyFont="1" applyAlignment="1" applyProtection="1">
      <alignment horizontal="left"/>
      <protection locked="0"/>
    </xf>
    <xf numFmtId="0" fontId="17" fillId="0" borderId="0" xfId="0" applyNumberFormat="1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uler="0" workbookViewId="0">
      <selection activeCell="A1" sqref="A1:J1"/>
    </sheetView>
  </sheetViews>
  <sheetFormatPr defaultColWidth="9" defaultRowHeight="15"/>
  <cols>
    <col min="1" max="10" width="13.1428571428571" customWidth="1"/>
    <col min="11" max="26" width="9.28571428571429" customWidth="1"/>
  </cols>
  <sheetData>
    <row r="1" ht="92.25" customHeight="1" spans="1:10">
      <c r="A1" s="153" t="s">
        <v>0</v>
      </c>
      <c r="B1" s="154"/>
      <c r="C1" s="154"/>
      <c r="D1" s="154"/>
      <c r="E1" s="154"/>
      <c r="F1" s="154"/>
      <c r="G1" s="154"/>
      <c r="H1" s="154"/>
      <c r="I1" s="154"/>
      <c r="J1" s="154"/>
    </row>
    <row r="2" ht="21" customHeight="1" spans="1:10">
      <c r="A2" s="155" t="s">
        <v>1</v>
      </c>
      <c r="B2" s="155"/>
      <c r="C2" s="156" t="s">
        <v>2</v>
      </c>
      <c r="D2" s="156"/>
      <c r="E2" s="156"/>
      <c r="F2" s="156"/>
      <c r="G2" s="156"/>
      <c r="H2" s="156"/>
      <c r="I2" s="156"/>
      <c r="J2" s="156"/>
    </row>
    <row r="3" ht="27" customHeight="1" spans="1:10">
      <c r="A3" s="155"/>
      <c r="B3" s="155"/>
      <c r="C3" s="156"/>
      <c r="D3" s="156"/>
      <c r="E3" s="156"/>
      <c r="F3" s="156"/>
      <c r="G3" s="156"/>
      <c r="H3" s="156"/>
      <c r="I3" s="156"/>
      <c r="J3" s="156"/>
    </row>
    <row r="4" ht="27" customHeight="1" spans="1:10">
      <c r="A4" s="155"/>
      <c r="B4" s="155"/>
      <c r="C4" s="156"/>
      <c r="D4" s="156"/>
      <c r="E4" s="156"/>
      <c r="F4" s="156"/>
      <c r="G4" s="156"/>
      <c r="H4" s="156"/>
      <c r="I4" s="156"/>
      <c r="J4" s="156"/>
    </row>
    <row r="5" ht="27" customHeight="1" spans="1:10">
      <c r="A5" s="155"/>
      <c r="B5" s="155"/>
      <c r="C5" s="156"/>
      <c r="D5" s="156"/>
      <c r="E5" s="156"/>
      <c r="F5" s="156"/>
      <c r="G5" s="156"/>
      <c r="H5" s="156"/>
      <c r="I5" s="156"/>
      <c r="J5" s="156"/>
    </row>
    <row r="6" ht="45.75" customHeight="1" spans="1:10">
      <c r="A6" s="155"/>
      <c r="B6" s="155"/>
      <c r="C6" s="156"/>
      <c r="D6" s="156"/>
      <c r="E6" s="156"/>
      <c r="F6" s="156"/>
      <c r="G6" s="156"/>
      <c r="H6" s="156"/>
      <c r="I6" s="156"/>
      <c r="J6" s="156"/>
    </row>
    <row r="7" ht="27" customHeight="1" spans="1:10">
      <c r="A7" s="155"/>
      <c r="B7" s="155"/>
      <c r="C7" s="156"/>
      <c r="D7" s="156"/>
      <c r="E7" s="156"/>
      <c r="F7" s="156"/>
      <c r="G7" s="156"/>
      <c r="H7" s="156"/>
      <c r="I7" s="156"/>
      <c r="J7" s="156"/>
    </row>
    <row r="8" ht="27" customHeight="1" spans="1:10">
      <c r="A8" s="155"/>
      <c r="B8" s="155"/>
      <c r="C8" s="156"/>
      <c r="D8" s="156"/>
      <c r="E8" s="156"/>
      <c r="F8" s="156"/>
      <c r="G8" s="156"/>
      <c r="H8" s="156"/>
      <c r="I8" s="156"/>
      <c r="J8" s="156"/>
    </row>
    <row r="9" ht="63.75" customHeight="1" spans="1:10">
      <c r="A9" s="155"/>
      <c r="B9" s="155"/>
      <c r="C9" s="156"/>
      <c r="D9" s="156"/>
      <c r="E9" s="156"/>
      <c r="F9" s="156"/>
      <c r="G9" s="156"/>
      <c r="H9" s="156"/>
      <c r="I9" s="156"/>
      <c r="J9" s="156"/>
    </row>
    <row r="10" ht="65.25" customHeight="1" spans="1:10">
      <c r="A10" s="157" t="s">
        <v>3</v>
      </c>
      <c r="B10" s="157"/>
      <c r="C10" s="157"/>
      <c r="D10" s="157"/>
      <c r="E10" s="157"/>
      <c r="F10" s="157"/>
      <c r="G10" s="157"/>
      <c r="H10" s="157"/>
      <c r="I10" s="157"/>
      <c r="J10" s="157"/>
    </row>
    <row r="11" ht="16.5" customHeight="1" spans="1:10">
      <c r="A11" s="158"/>
      <c r="B11" s="159"/>
      <c r="C11" s="159"/>
      <c r="D11" s="159"/>
      <c r="E11" s="159"/>
      <c r="F11" s="159"/>
      <c r="G11" s="159"/>
      <c r="H11" s="159"/>
      <c r="I11" s="159"/>
      <c r="J11" s="159"/>
    </row>
    <row r="12" ht="16.5" customHeight="1" spans="1:10">
      <c r="A12" s="158"/>
      <c r="B12" s="159"/>
      <c r="C12" s="159"/>
      <c r="D12" s="159"/>
      <c r="E12" s="159"/>
      <c r="F12" s="159"/>
      <c r="G12" s="159"/>
      <c r="H12" s="159"/>
      <c r="I12" s="159"/>
      <c r="J12" s="159"/>
    </row>
    <row r="13" ht="16.5" customHeight="1" spans="1:10">
      <c r="A13" s="158"/>
      <c r="B13" s="159"/>
      <c r="C13" s="159"/>
      <c r="D13" s="159"/>
      <c r="E13" s="159"/>
      <c r="F13" s="159"/>
      <c r="G13" s="159"/>
      <c r="H13" s="159"/>
      <c r="I13" s="159"/>
      <c r="J13" s="159"/>
    </row>
    <row r="14" ht="16.5" customHeight="1" spans="1:10">
      <c r="A14" s="158"/>
      <c r="B14" s="159"/>
      <c r="C14" s="159"/>
      <c r="D14" s="159"/>
      <c r="E14" s="159"/>
      <c r="F14" s="159"/>
      <c r="G14" s="159"/>
      <c r="H14" s="159"/>
      <c r="I14" s="159"/>
      <c r="J14" s="159"/>
    </row>
    <row r="15" ht="16.5" customHeight="1" spans="1:10">
      <c r="A15" s="158"/>
      <c r="B15" s="159"/>
      <c r="C15" s="159"/>
      <c r="D15" s="159"/>
      <c r="E15" s="159"/>
      <c r="F15" s="159"/>
      <c r="G15" s="159"/>
      <c r="H15" s="159"/>
      <c r="I15" s="159"/>
      <c r="J15" s="159"/>
    </row>
    <row r="16" ht="16.5" customHeight="1" spans="1:10">
      <c r="A16" s="158"/>
      <c r="B16" s="159"/>
      <c r="C16" s="159"/>
      <c r="D16" s="159"/>
      <c r="E16" s="159"/>
      <c r="F16" s="159"/>
      <c r="G16" s="159"/>
      <c r="H16" s="159"/>
      <c r="I16" s="159"/>
      <c r="J16" s="159"/>
    </row>
    <row r="17" ht="16.5" customHeight="1" spans="1:10">
      <c r="A17" s="158"/>
      <c r="B17" s="159"/>
      <c r="C17" s="159"/>
      <c r="D17" s="159"/>
      <c r="E17" s="159"/>
      <c r="F17" s="159"/>
      <c r="G17" s="159"/>
      <c r="H17" s="159"/>
      <c r="I17" s="159"/>
      <c r="J17" s="159"/>
    </row>
    <row r="18" ht="16.5" customHeight="1" spans="1:10">
      <c r="A18" s="158"/>
      <c r="B18" s="159"/>
      <c r="C18" s="159"/>
      <c r="D18" s="159"/>
      <c r="E18" s="159"/>
      <c r="F18" s="159"/>
      <c r="G18" s="159"/>
      <c r="H18" s="159"/>
      <c r="I18" s="159"/>
      <c r="J18" s="159"/>
    </row>
    <row r="19" ht="16.5" customHeight="1" spans="1:10">
      <c r="A19" s="158"/>
      <c r="B19" s="159"/>
      <c r="C19" s="159"/>
      <c r="D19" s="159"/>
      <c r="E19" s="159"/>
      <c r="F19" s="159"/>
      <c r="G19" s="159"/>
      <c r="H19" s="159"/>
      <c r="I19" s="159"/>
      <c r="J19" s="159"/>
    </row>
    <row r="20" ht="16.5" customHeight="1" spans="1:10">
      <c r="A20" s="158"/>
      <c r="B20" s="159"/>
      <c r="C20" s="159"/>
      <c r="D20" s="159"/>
      <c r="E20" s="159"/>
      <c r="F20" s="159"/>
      <c r="G20" s="159"/>
      <c r="H20" s="159"/>
      <c r="I20" s="159"/>
      <c r="J20" s="159"/>
    </row>
  </sheetData>
  <mergeCells count="4">
    <mergeCell ref="A1:J1"/>
    <mergeCell ref="A10:J10"/>
    <mergeCell ref="A2:B9"/>
    <mergeCell ref="C2:J9"/>
  </mergeCells>
  <printOptions horizontalCentered="1"/>
  <pageMargins left="0.511811023622047" right="0.511811023622047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showRuler="0" workbookViewId="0">
      <selection activeCell="B6" sqref="B6:B12"/>
    </sheetView>
  </sheetViews>
  <sheetFormatPr defaultColWidth="9" defaultRowHeight="15" outlineLevelCol="3"/>
  <cols>
    <col min="1" max="1" width="34.1428571428571" customWidth="1"/>
    <col min="2" max="2" width="31.4285714285714" customWidth="1"/>
    <col min="3" max="3" width="31.2857142857143" customWidth="1"/>
    <col min="4" max="4" width="30.1428571428571" customWidth="1"/>
    <col min="5" max="26" width="13.5714285714286" customWidth="1"/>
  </cols>
  <sheetData>
    <row r="1" ht="29.25" customHeight="1" spans="1:4">
      <c r="A1" s="148" t="s">
        <v>4</v>
      </c>
      <c r="B1" s="149"/>
      <c r="C1" s="148"/>
      <c r="D1" s="149"/>
    </row>
    <row r="2" ht="13.5" customHeight="1" spans="1:4">
      <c r="A2" s="21" t="s">
        <v>5</v>
      </c>
      <c r="B2" s="21"/>
      <c r="C2" s="21" t="s">
        <v>6</v>
      </c>
      <c r="D2" s="150" t="s">
        <v>7</v>
      </c>
    </row>
    <row r="3" ht="25.5" customHeight="1" spans="1:4">
      <c r="A3" s="27" t="s">
        <v>8</v>
      </c>
      <c r="B3" s="27"/>
      <c r="C3" s="27" t="s">
        <v>9</v>
      </c>
      <c r="D3" s="27"/>
    </row>
    <row r="4" ht="28.5" customHeight="1" spans="1:4">
      <c r="A4" s="27" t="s">
        <v>10</v>
      </c>
      <c r="B4" s="27" t="s">
        <v>11</v>
      </c>
      <c r="C4" s="27" t="s">
        <v>10</v>
      </c>
      <c r="D4" s="27" t="s">
        <v>11</v>
      </c>
    </row>
    <row r="5" ht="21" customHeight="1" spans="1:4">
      <c r="A5" s="151" t="s">
        <v>12</v>
      </c>
      <c r="B5" s="43">
        <v>24197.5</v>
      </c>
      <c r="C5" s="151" t="s">
        <v>13</v>
      </c>
      <c r="D5" s="43">
        <v>6200.03</v>
      </c>
    </row>
    <row r="6" ht="21" customHeight="1" spans="1:4">
      <c r="A6" s="151" t="s">
        <v>14</v>
      </c>
      <c r="B6" s="43">
        <v>24197.5</v>
      </c>
      <c r="C6" s="151" t="s">
        <v>15</v>
      </c>
      <c r="D6" s="43">
        <v>4408.68</v>
      </c>
    </row>
    <row r="7" ht="21" customHeight="1" spans="1:4">
      <c r="A7" s="151" t="s">
        <v>16</v>
      </c>
      <c r="B7" s="43">
        <v>0</v>
      </c>
      <c r="C7" s="151" t="s">
        <v>17</v>
      </c>
      <c r="D7" s="43">
        <v>1791.35</v>
      </c>
    </row>
    <row r="8" ht="21" customHeight="1" spans="1:4">
      <c r="A8" s="151" t="s">
        <v>18</v>
      </c>
      <c r="B8" s="43">
        <v>0</v>
      </c>
      <c r="C8" s="151" t="s">
        <v>19</v>
      </c>
      <c r="D8" s="43">
        <v>18884.19</v>
      </c>
    </row>
    <row r="9" ht="21" customHeight="1" spans="1:4">
      <c r="A9" s="151" t="s">
        <v>20</v>
      </c>
      <c r="B9" s="43">
        <v>0</v>
      </c>
      <c r="C9" s="151" t="s">
        <v>21</v>
      </c>
      <c r="D9" s="43">
        <v>18884.19</v>
      </c>
    </row>
    <row r="10" ht="21" customHeight="1" spans="1:4">
      <c r="A10" s="151" t="s">
        <v>22</v>
      </c>
      <c r="B10" s="43">
        <v>0</v>
      </c>
      <c r="C10" s="151" t="s">
        <v>23</v>
      </c>
      <c r="D10" s="43">
        <v>0</v>
      </c>
    </row>
    <row r="11" ht="21" customHeight="1" spans="1:4">
      <c r="A11" s="151" t="s">
        <v>24</v>
      </c>
      <c r="B11" s="43">
        <v>886.72</v>
      </c>
      <c r="C11" s="151" t="s">
        <v>6</v>
      </c>
      <c r="D11" s="43" t="s">
        <v>6</v>
      </c>
    </row>
    <row r="12" ht="21" customHeight="1" spans="1:4">
      <c r="A12" s="151" t="s">
        <v>25</v>
      </c>
      <c r="B12" s="43">
        <v>0</v>
      </c>
      <c r="C12" s="151" t="s">
        <v>6</v>
      </c>
      <c r="D12" s="43" t="s">
        <v>6</v>
      </c>
    </row>
    <row r="13" ht="21" customHeight="1" spans="1:4">
      <c r="A13" s="151" t="s">
        <v>26</v>
      </c>
      <c r="B13" s="43">
        <v>886.72</v>
      </c>
      <c r="C13" s="151" t="s">
        <v>6</v>
      </c>
      <c r="D13" s="43" t="s">
        <v>6</v>
      </c>
    </row>
    <row r="14" ht="21" customHeight="1" spans="1:4">
      <c r="A14" s="151" t="s">
        <v>27</v>
      </c>
      <c r="B14" s="43">
        <v>0</v>
      </c>
      <c r="C14" s="151" t="s">
        <v>6</v>
      </c>
      <c r="D14" s="43" t="s">
        <v>6</v>
      </c>
    </row>
    <row r="15" ht="21" customHeight="1" spans="1:4">
      <c r="A15" s="151" t="s">
        <v>28</v>
      </c>
      <c r="B15" s="43">
        <v>0</v>
      </c>
      <c r="C15" s="151" t="s">
        <v>6</v>
      </c>
      <c r="D15" s="43" t="s">
        <v>6</v>
      </c>
    </row>
    <row r="16" ht="21" customHeight="1" spans="1:4">
      <c r="A16" s="151" t="s">
        <v>29</v>
      </c>
      <c r="B16" s="43"/>
      <c r="C16" s="151" t="s">
        <v>6</v>
      </c>
      <c r="D16" s="43" t="s">
        <v>6</v>
      </c>
    </row>
    <row r="17" ht="21" customHeight="1" spans="1:4">
      <c r="A17" s="151" t="s">
        <v>6</v>
      </c>
      <c r="B17" s="43" t="s">
        <v>6</v>
      </c>
      <c r="C17" s="151" t="s">
        <v>6</v>
      </c>
      <c r="D17" s="43" t="s">
        <v>6</v>
      </c>
    </row>
    <row r="18" ht="21" customHeight="1" spans="1:4">
      <c r="A18" s="27" t="s">
        <v>30</v>
      </c>
      <c r="B18" s="43">
        <f>B5+B11</f>
        <v>25084.22</v>
      </c>
      <c r="C18" s="27" t="s">
        <v>31</v>
      </c>
      <c r="D18" s="43">
        <f>D5+D8</f>
        <v>25084.22</v>
      </c>
    </row>
    <row r="19" ht="21" customHeight="1" spans="1:4">
      <c r="A19" s="151" t="s">
        <v>32</v>
      </c>
      <c r="B19" s="43">
        <v>0</v>
      </c>
      <c r="C19" s="151" t="s">
        <v>33</v>
      </c>
      <c r="D19" s="43">
        <v>0</v>
      </c>
    </row>
    <row r="20" ht="21" customHeight="1" spans="1:4">
      <c r="A20" s="151" t="s">
        <v>6</v>
      </c>
      <c r="B20" s="43" t="s">
        <v>6</v>
      </c>
      <c r="C20" s="151" t="s">
        <v>6</v>
      </c>
      <c r="D20" s="43" t="s">
        <v>6</v>
      </c>
    </row>
    <row r="21" ht="21" customHeight="1" spans="1:4">
      <c r="A21" s="151" t="s">
        <v>34</v>
      </c>
      <c r="B21" s="43">
        <f>B18</f>
        <v>25084.22</v>
      </c>
      <c r="C21" s="151" t="s">
        <v>34</v>
      </c>
      <c r="D21" s="43">
        <f>D18</f>
        <v>25084.22</v>
      </c>
    </row>
    <row r="22" ht="13.5" customHeight="1" spans="2:4">
      <c r="B22" s="152"/>
      <c r="D22" s="152"/>
    </row>
    <row r="23" ht="13.5" customHeight="1" spans="2:4">
      <c r="B23" s="152"/>
      <c r="D23" s="152"/>
    </row>
    <row r="24" ht="13.5" customHeight="1" spans="2:4">
      <c r="B24" s="152"/>
      <c r="D24" s="152"/>
    </row>
    <row r="25" ht="13.5" customHeight="1" spans="2:4">
      <c r="B25" s="152"/>
      <c r="D25" s="152"/>
    </row>
    <row r="26" ht="13.5" customHeight="1" spans="2:4">
      <c r="B26" s="152"/>
      <c r="D26" s="152"/>
    </row>
    <row r="27" ht="13.5" customHeight="1" spans="2:4">
      <c r="B27" s="152"/>
      <c r="D27" s="152"/>
    </row>
    <row r="28" ht="13.5" customHeight="1" spans="2:4">
      <c r="B28" s="152"/>
      <c r="D28" s="152"/>
    </row>
    <row r="29" ht="13.5" customHeight="1" spans="2:4">
      <c r="B29" s="152"/>
      <c r="D29" s="152"/>
    </row>
    <row r="30" ht="13.5" customHeight="1" spans="2:4">
      <c r="B30" s="152"/>
      <c r="D30" s="152"/>
    </row>
    <row r="31" ht="13.5" customHeight="1" spans="2:4">
      <c r="B31" s="152"/>
      <c r="D31" s="152"/>
    </row>
    <row r="32" ht="13.5" customHeight="1" spans="2:4">
      <c r="B32" s="152"/>
      <c r="D32" s="152"/>
    </row>
    <row r="33" ht="13.5" customHeight="1" spans="2:4">
      <c r="B33" s="152"/>
      <c r="D33" s="152"/>
    </row>
    <row r="34" ht="13.5" customHeight="1" spans="2:4">
      <c r="B34" s="152"/>
      <c r="D34" s="152"/>
    </row>
    <row r="35" ht="13.5" customHeight="1" spans="2:4">
      <c r="B35" s="152"/>
      <c r="D35" s="152"/>
    </row>
    <row r="36" ht="13.5" customHeight="1" spans="2:4">
      <c r="B36" s="152"/>
      <c r="D36" s="152"/>
    </row>
    <row r="37" ht="13.5" customHeight="1" spans="2:4">
      <c r="B37" s="152"/>
      <c r="D37" s="152"/>
    </row>
    <row r="38" ht="13.5" customHeight="1" spans="2:4">
      <c r="B38" s="152"/>
      <c r="D38" s="152"/>
    </row>
    <row r="39" ht="13.5" customHeight="1" spans="2:4">
      <c r="B39" s="152"/>
      <c r="D39" s="152"/>
    </row>
    <row r="40" ht="13.5" customHeight="1" spans="2:4">
      <c r="B40" s="152"/>
      <c r="D40" s="152"/>
    </row>
    <row r="41" ht="13.5" customHeight="1" spans="2:4">
      <c r="B41" s="152"/>
      <c r="D41" s="152"/>
    </row>
    <row r="42" ht="13.5" customHeight="1" spans="2:4">
      <c r="B42" s="152"/>
      <c r="D42" s="152"/>
    </row>
    <row r="43" ht="13.5" customHeight="1" spans="2:4">
      <c r="B43" s="152"/>
      <c r="D43" s="152"/>
    </row>
    <row r="44" ht="13.5" customHeight="1" spans="2:4">
      <c r="B44" s="152"/>
      <c r="D44" s="152"/>
    </row>
    <row r="45" ht="13.5" customHeight="1" spans="2:4">
      <c r="B45" s="152"/>
      <c r="D45" s="152"/>
    </row>
    <row r="46" ht="13.5" customHeight="1" spans="2:4">
      <c r="B46" s="152"/>
      <c r="D46" s="152"/>
    </row>
    <row r="47" ht="13.5" customHeight="1" spans="2:4">
      <c r="B47" s="152"/>
      <c r="D47" s="152"/>
    </row>
    <row r="48" ht="13.5" customHeight="1" spans="2:4">
      <c r="B48" s="152"/>
      <c r="D48" s="152"/>
    </row>
    <row r="49" ht="13.5" customHeight="1" spans="2:4">
      <c r="B49" s="152"/>
      <c r="D49" s="152"/>
    </row>
    <row r="50" ht="13.5" customHeight="1" spans="2:4">
      <c r="B50" s="152"/>
      <c r="D50" s="152"/>
    </row>
    <row r="51" ht="13.5" customHeight="1" spans="2:4">
      <c r="B51" s="152"/>
      <c r="D51" s="152"/>
    </row>
    <row r="52" ht="13.5" customHeight="1" spans="2:4">
      <c r="B52" s="152"/>
      <c r="D52" s="152"/>
    </row>
    <row r="53" ht="13.5" customHeight="1" spans="2:4">
      <c r="B53" s="152"/>
      <c r="D53" s="152"/>
    </row>
    <row r="54" ht="13.5" customHeight="1" spans="2:4">
      <c r="B54" s="152"/>
      <c r="D54" s="152"/>
    </row>
    <row r="55" ht="13.5" customHeight="1" spans="2:4">
      <c r="B55" s="152"/>
      <c r="D55" s="152"/>
    </row>
    <row r="56" ht="13.5" customHeight="1" spans="2:4">
      <c r="B56" s="152"/>
      <c r="D56" s="152"/>
    </row>
    <row r="57" ht="13.5" customHeight="1" spans="2:4">
      <c r="B57" s="152"/>
      <c r="D57" s="152"/>
    </row>
    <row r="58" ht="13.5" customHeight="1" spans="2:4">
      <c r="B58" s="152"/>
      <c r="D58" s="152"/>
    </row>
    <row r="59" ht="13.5" customHeight="1" spans="2:4">
      <c r="B59" s="152"/>
      <c r="D59" s="152"/>
    </row>
    <row r="60" ht="13.5" customHeight="1" spans="2:4">
      <c r="B60" s="152"/>
      <c r="D60" s="152"/>
    </row>
    <row r="61" ht="13.5" customHeight="1" spans="2:4">
      <c r="B61" s="152"/>
      <c r="D61" s="152"/>
    </row>
    <row r="62" ht="13.5" customHeight="1" spans="2:4">
      <c r="B62" s="152"/>
      <c r="D62" s="152"/>
    </row>
    <row r="63" ht="13.5" customHeight="1" spans="2:4">
      <c r="B63" s="152"/>
      <c r="D63" s="152"/>
    </row>
    <row r="64" ht="13.5" customHeight="1" spans="2:4">
      <c r="B64" s="152"/>
      <c r="D64" s="152"/>
    </row>
    <row r="65" ht="13.5" customHeight="1" spans="2:4">
      <c r="B65" s="152"/>
      <c r="D65" s="152"/>
    </row>
    <row r="66" ht="13.5" customHeight="1" spans="2:4">
      <c r="B66" s="152"/>
      <c r="D66" s="152"/>
    </row>
    <row r="67" ht="13.5" customHeight="1" spans="2:4">
      <c r="B67" s="152"/>
      <c r="D67" s="152"/>
    </row>
    <row r="68" ht="13.5" customHeight="1" spans="2:4">
      <c r="B68" s="152"/>
      <c r="D68" s="152"/>
    </row>
    <row r="69" ht="13.5" customHeight="1" spans="2:4">
      <c r="B69" s="152"/>
      <c r="D69" s="152"/>
    </row>
    <row r="70" ht="13.5" customHeight="1" spans="2:4">
      <c r="B70" s="152"/>
      <c r="D70" s="152"/>
    </row>
    <row r="71" ht="13.5" customHeight="1" spans="2:4">
      <c r="B71" s="152"/>
      <c r="D71" s="152"/>
    </row>
    <row r="72" ht="13.5" customHeight="1" spans="2:4">
      <c r="B72" s="152"/>
      <c r="D72" s="152"/>
    </row>
    <row r="73" ht="13.5" customHeight="1" spans="2:4">
      <c r="B73" s="152"/>
      <c r="D73" s="152"/>
    </row>
    <row r="74" ht="13.5" customHeight="1" spans="2:4">
      <c r="B74" s="152"/>
      <c r="D74" s="152"/>
    </row>
    <row r="75" ht="13.5" customHeight="1" spans="2:4">
      <c r="B75" s="152"/>
      <c r="D75" s="152"/>
    </row>
    <row r="76" ht="13.5" customHeight="1" spans="2:4">
      <c r="B76" s="152"/>
      <c r="D76" s="152"/>
    </row>
    <row r="77" ht="13.5" customHeight="1" spans="2:4">
      <c r="B77" s="152"/>
      <c r="D77" s="152"/>
    </row>
    <row r="78" ht="13.5" customHeight="1" spans="2:4">
      <c r="B78" s="152"/>
      <c r="D78" s="152"/>
    </row>
    <row r="79" ht="13.5" customHeight="1" spans="2:4">
      <c r="B79" s="152"/>
      <c r="D79" s="152"/>
    </row>
    <row r="80" ht="13.5" customHeight="1" spans="2:4">
      <c r="B80" s="152"/>
      <c r="D80" s="152"/>
    </row>
    <row r="81" ht="13.5" customHeight="1" spans="2:4">
      <c r="B81" s="152"/>
      <c r="D81" s="152"/>
    </row>
    <row r="82" ht="13.5" customHeight="1" spans="2:4">
      <c r="B82" s="152"/>
      <c r="D82" s="152"/>
    </row>
    <row r="83" ht="13.5" customHeight="1" spans="2:4">
      <c r="B83" s="152"/>
      <c r="D83" s="152"/>
    </row>
    <row r="84" ht="13.5" customHeight="1" spans="2:4">
      <c r="B84" s="152"/>
      <c r="D84" s="152"/>
    </row>
    <row r="85" ht="13.5" customHeight="1" spans="2:4">
      <c r="B85" s="152"/>
      <c r="D85" s="152"/>
    </row>
    <row r="86" ht="13.5" customHeight="1" spans="2:4">
      <c r="B86" s="152"/>
      <c r="D86" s="152"/>
    </row>
    <row r="87" ht="13.5" customHeight="1" spans="2:4">
      <c r="B87" s="152"/>
      <c r="D87" s="152"/>
    </row>
    <row r="88" ht="13.5" customHeight="1" spans="2:4">
      <c r="B88" s="152"/>
      <c r="D88" s="152"/>
    </row>
    <row r="89" ht="13.5" customHeight="1" spans="2:4">
      <c r="B89" s="152"/>
      <c r="D89" s="152"/>
    </row>
    <row r="90" ht="13.5" customHeight="1" spans="2:4">
      <c r="B90" s="152"/>
      <c r="D90" s="152"/>
    </row>
    <row r="91" ht="13.5" customHeight="1" spans="2:4">
      <c r="B91" s="152"/>
      <c r="D91" s="152"/>
    </row>
    <row r="92" ht="13.5" customHeight="1" spans="2:4">
      <c r="B92" s="152"/>
      <c r="D92" s="152"/>
    </row>
    <row r="93" ht="13.5" customHeight="1" spans="2:4">
      <c r="B93" s="152"/>
      <c r="D93" s="152"/>
    </row>
    <row r="94" ht="13.5" customHeight="1" spans="2:4">
      <c r="B94" s="152"/>
      <c r="D94" s="152"/>
    </row>
    <row r="95" ht="13.5" customHeight="1" spans="2:4">
      <c r="B95" s="152"/>
      <c r="D95" s="152"/>
    </row>
    <row r="96" ht="13.5" customHeight="1" spans="2:4">
      <c r="B96" s="152"/>
      <c r="D96" s="152"/>
    </row>
    <row r="97" ht="13.5" customHeight="1" spans="2:4">
      <c r="B97" s="152"/>
      <c r="D97" s="152"/>
    </row>
    <row r="98" ht="13.5" customHeight="1" spans="2:4">
      <c r="B98" s="152"/>
      <c r="D98" s="152"/>
    </row>
    <row r="99" ht="13.5" customHeight="1" spans="2:4">
      <c r="B99" s="152"/>
      <c r="D99" s="152"/>
    </row>
    <row r="100" ht="13.5" customHeight="1" spans="2:4">
      <c r="B100" s="152"/>
      <c r="D100" s="152"/>
    </row>
  </sheetData>
  <mergeCells count="4">
    <mergeCell ref="A1:D1"/>
    <mergeCell ref="A2:B2"/>
    <mergeCell ref="A3:B3"/>
    <mergeCell ref="C3:D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showRuler="0" workbookViewId="0">
      <selection activeCell="N6" sqref="N6"/>
    </sheetView>
  </sheetViews>
  <sheetFormatPr defaultColWidth="9" defaultRowHeight="15"/>
  <cols>
    <col min="1" max="1" width="9.28571428571429" customWidth="1"/>
    <col min="2" max="2" width="49.1428571428571" customWidth="1"/>
    <col min="3" max="3" width="11.2857142857143" customWidth="1"/>
    <col min="4" max="4" width="10.7142857142857" customWidth="1"/>
    <col min="5" max="5" width="11" customWidth="1"/>
    <col min="6" max="6" width="10.4285714285714" customWidth="1"/>
    <col min="7" max="7" width="9.85714285714286" customWidth="1"/>
    <col min="8" max="8" width="8.14285714285714" customWidth="1"/>
    <col min="9" max="9" width="7.14285714285714" customWidth="1"/>
    <col min="10" max="10" width="10.1428571428571" customWidth="1"/>
    <col min="11" max="11" width="9.42857142857143" customWidth="1"/>
    <col min="12" max="12" width="10.5714285714286" customWidth="1"/>
    <col min="13" max="13" width="6" customWidth="1"/>
    <col min="14" max="18" width="9.28571428571429" customWidth="1"/>
  </cols>
  <sheetData>
    <row r="1" ht="43.5" customHeight="1" spans="1:13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ht="21" customHeight="1" spans="1:13">
      <c r="A2" s="20" t="s">
        <v>5</v>
      </c>
      <c r="B2" s="20"/>
      <c r="C2" s="20"/>
      <c r="D2" s="20"/>
      <c r="E2" s="23"/>
      <c r="F2" s="23"/>
      <c r="G2" s="23"/>
      <c r="H2" s="23"/>
      <c r="I2" s="23"/>
      <c r="J2" s="142"/>
      <c r="K2" s="143" t="s">
        <v>7</v>
      </c>
      <c r="L2" s="143"/>
      <c r="M2" s="143"/>
    </row>
    <row r="3" ht="36.75" customHeight="1" spans="1:18">
      <c r="A3" s="25" t="s">
        <v>36</v>
      </c>
      <c r="B3" s="25" t="s">
        <v>37</v>
      </c>
      <c r="C3" s="39" t="s">
        <v>38</v>
      </c>
      <c r="D3" s="39"/>
      <c r="E3" s="39"/>
      <c r="F3" s="39"/>
      <c r="G3" s="39"/>
      <c r="H3" s="39"/>
      <c r="I3" s="39"/>
      <c r="J3" s="39" t="s">
        <v>39</v>
      </c>
      <c r="K3" s="39"/>
      <c r="L3" s="39"/>
      <c r="M3" s="26" t="s">
        <v>33</v>
      </c>
      <c r="N3" s="16"/>
      <c r="O3" s="16"/>
      <c r="P3" s="16"/>
      <c r="Q3" s="16"/>
      <c r="R3" s="16"/>
    </row>
    <row r="4" ht="30" customHeight="1" spans="1:18">
      <c r="A4" s="25"/>
      <c r="B4" s="25"/>
      <c r="C4" s="24" t="s">
        <v>40</v>
      </c>
      <c r="D4" s="25" t="s">
        <v>41</v>
      </c>
      <c r="E4" s="25"/>
      <c r="F4" s="25"/>
      <c r="G4" s="25"/>
      <c r="H4" s="25"/>
      <c r="I4" s="25"/>
      <c r="J4" s="144" t="s">
        <v>40</v>
      </c>
      <c r="K4" s="24" t="s">
        <v>42</v>
      </c>
      <c r="L4" s="106" t="s">
        <v>43</v>
      </c>
      <c r="M4" s="26"/>
      <c r="N4" s="16"/>
      <c r="O4" s="16"/>
      <c r="P4" s="16"/>
      <c r="Q4" s="16"/>
      <c r="R4" s="16"/>
    </row>
    <row r="5" ht="29.25" customHeight="1" spans="1:18">
      <c r="A5" s="25"/>
      <c r="B5" s="25"/>
      <c r="C5" s="24"/>
      <c r="D5" s="24" t="s">
        <v>44</v>
      </c>
      <c r="E5" s="39" t="s">
        <v>45</v>
      </c>
      <c r="F5" s="39"/>
      <c r="G5" s="38" t="s">
        <v>46</v>
      </c>
      <c r="H5" s="38"/>
      <c r="I5" s="38"/>
      <c r="J5" s="145"/>
      <c r="K5" s="24"/>
      <c r="L5" s="106"/>
      <c r="M5" s="26"/>
      <c r="N5" s="16"/>
      <c r="O5" s="16"/>
      <c r="P5" s="16"/>
      <c r="Q5" s="16"/>
      <c r="R5" s="16"/>
    </row>
    <row r="6" ht="52.5" customHeight="1" spans="1:18">
      <c r="A6" s="25"/>
      <c r="B6" s="25"/>
      <c r="C6" s="24"/>
      <c r="D6" s="24"/>
      <c r="E6" s="25" t="s">
        <v>44</v>
      </c>
      <c r="F6" s="25" t="s">
        <v>47</v>
      </c>
      <c r="G6" s="26" t="s">
        <v>44</v>
      </c>
      <c r="H6" s="26" t="s">
        <v>48</v>
      </c>
      <c r="I6" s="26" t="s">
        <v>49</v>
      </c>
      <c r="J6" s="145"/>
      <c r="K6" s="24"/>
      <c r="L6" s="106"/>
      <c r="M6" s="26"/>
      <c r="N6" s="16"/>
      <c r="O6" s="16"/>
      <c r="P6" s="16"/>
      <c r="Q6" s="16"/>
      <c r="R6" s="16"/>
    </row>
    <row r="7" ht="18.75" customHeight="1" spans="1:18">
      <c r="A7" s="136" t="s">
        <v>40</v>
      </c>
      <c r="B7" s="136"/>
      <c r="C7" s="137">
        <v>25084.215998</v>
      </c>
      <c r="D7" s="138">
        <v>25084.215998</v>
      </c>
      <c r="E7" s="74">
        <v>24197.495998</v>
      </c>
      <c r="F7" s="74">
        <v>24197.495998</v>
      </c>
      <c r="G7" s="77">
        <v>886.72</v>
      </c>
      <c r="H7" s="74">
        <v>0</v>
      </c>
      <c r="I7" s="74">
        <v>886.72</v>
      </c>
      <c r="J7" s="77">
        <v>25084.215998</v>
      </c>
      <c r="K7" s="74">
        <v>6200.025998</v>
      </c>
      <c r="L7" s="74">
        <v>18884.19</v>
      </c>
      <c r="M7" s="49">
        <v>0</v>
      </c>
      <c r="N7" s="16"/>
      <c r="O7" s="16"/>
      <c r="P7" s="16"/>
      <c r="Q7" s="16"/>
      <c r="R7" s="16"/>
    </row>
    <row r="8" ht="37.5" customHeight="1" spans="1:19">
      <c r="A8" s="139">
        <v>1</v>
      </c>
      <c r="B8" s="139" t="s">
        <v>50</v>
      </c>
      <c r="C8" s="77">
        <v>25084.215998</v>
      </c>
      <c r="D8" s="77">
        <v>25084.215998</v>
      </c>
      <c r="E8" s="74">
        <v>24197.495998</v>
      </c>
      <c r="F8" s="74">
        <v>24197.495998</v>
      </c>
      <c r="G8" s="77">
        <v>886.72</v>
      </c>
      <c r="H8" s="74">
        <v>0</v>
      </c>
      <c r="I8" s="74">
        <v>886.72</v>
      </c>
      <c r="J8" s="77">
        <f>K8+L8</f>
        <v>25084.215998</v>
      </c>
      <c r="K8" s="74">
        <v>6200.025998</v>
      </c>
      <c r="L8" s="74">
        <v>18884.19</v>
      </c>
      <c r="M8" s="146">
        <v>0</v>
      </c>
      <c r="N8" s="85"/>
      <c r="O8" s="85"/>
      <c r="P8" s="85"/>
      <c r="Q8" s="85"/>
      <c r="R8" s="85"/>
      <c r="S8" s="85"/>
    </row>
    <row r="9" ht="37.5" customHeight="1" spans="1:18">
      <c r="A9" s="140"/>
      <c r="B9" s="14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7"/>
      <c r="O9" s="147"/>
      <c r="P9" s="147"/>
      <c r="Q9" s="147"/>
      <c r="R9" s="147"/>
    </row>
    <row r="10" ht="37.5" customHeight="1" spans="1:18">
      <c r="A10" s="140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7"/>
      <c r="O10" s="147"/>
      <c r="P10" s="147"/>
      <c r="Q10" s="147"/>
      <c r="R10" s="147"/>
    </row>
    <row r="11" ht="37.5" customHeight="1" spans="1:18">
      <c r="A11" s="140"/>
      <c r="B11" s="140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7"/>
      <c r="O11" s="147"/>
      <c r="P11" s="147"/>
      <c r="Q11" s="147"/>
      <c r="R11" s="147"/>
    </row>
    <row r="12" ht="37.5" customHeight="1" spans="1:18">
      <c r="A12" s="140"/>
      <c r="B12" s="140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7"/>
      <c r="O12" s="147"/>
      <c r="P12" s="147"/>
      <c r="Q12" s="147"/>
      <c r="R12" s="147"/>
    </row>
  </sheetData>
  <mergeCells count="17">
    <mergeCell ref="A1:M1"/>
    <mergeCell ref="A2:D2"/>
    <mergeCell ref="K2:M2"/>
    <mergeCell ref="C3:I3"/>
    <mergeCell ref="J3:L3"/>
    <mergeCell ref="D4:I4"/>
    <mergeCell ref="E5:F5"/>
    <mergeCell ref="G5:I5"/>
    <mergeCell ref="A7:B7"/>
    <mergeCell ref="A3:A6"/>
    <mergeCell ref="B3:B6"/>
    <mergeCell ref="C4:C6"/>
    <mergeCell ref="D5:D6"/>
    <mergeCell ref="J4:J6"/>
    <mergeCell ref="K4:K6"/>
    <mergeCell ref="L4:L6"/>
    <mergeCell ref="M3:M6"/>
  </mergeCells>
  <printOptions horizontalCentered="1"/>
  <pageMargins left="0.196850393700787" right="0" top="0.748031496062992" bottom="0.354330708661417" header="0.31496062992126" footer="0.31496062992126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4"/>
  <sheetViews>
    <sheetView showRuler="0" workbookViewId="0">
      <selection activeCell="F10" sqref="F10"/>
    </sheetView>
  </sheetViews>
  <sheetFormatPr defaultColWidth="9" defaultRowHeight="15"/>
  <cols>
    <col min="1" max="1" width="3.42857142857143" customWidth="1"/>
    <col min="2" max="2" width="36" customWidth="1"/>
    <col min="3" max="3" width="11" customWidth="1"/>
    <col min="4" max="4" width="19.5714285714286" customWidth="1"/>
    <col min="5" max="5" width="24.2857142857143" customWidth="1"/>
    <col min="6" max="6" width="23" customWidth="1"/>
    <col min="7" max="7" width="28.2857142857143" customWidth="1"/>
    <col min="8" max="26" width="9.28571428571429" customWidth="1"/>
  </cols>
  <sheetData>
    <row r="1" ht="46.5" customHeight="1" spans="1:26">
      <c r="A1" s="96" t="s">
        <v>51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ht="17.25" customHeight="1" spans="1:7">
      <c r="A2" s="20" t="s">
        <v>5</v>
      </c>
      <c r="B2" s="20"/>
      <c r="C2" s="20"/>
      <c r="D2" s="23"/>
      <c r="E2" s="23"/>
      <c r="F2" s="23"/>
      <c r="G2" s="120" t="s">
        <v>7</v>
      </c>
    </row>
    <row r="3" ht="18" customHeight="1" spans="1:26">
      <c r="A3" s="121" t="s">
        <v>36</v>
      </c>
      <c r="B3" s="122" t="s">
        <v>52</v>
      </c>
      <c r="C3" s="123" t="s">
        <v>11</v>
      </c>
      <c r="D3" s="123"/>
      <c r="E3" s="123"/>
      <c r="F3" s="123"/>
      <c r="G3" s="123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ht="18" customHeight="1" spans="1:26">
      <c r="A4" s="121"/>
      <c r="B4" s="122"/>
      <c r="C4" s="122" t="s">
        <v>40</v>
      </c>
      <c r="D4" s="123" t="s">
        <v>53</v>
      </c>
      <c r="E4" s="123"/>
      <c r="F4" s="123"/>
      <c r="G4" s="123" t="s">
        <v>54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ht="18" customHeight="1" spans="1:26">
      <c r="A5" s="121"/>
      <c r="B5" s="122"/>
      <c r="C5" s="122"/>
      <c r="D5" s="123" t="s">
        <v>44</v>
      </c>
      <c r="E5" s="123" t="s">
        <v>55</v>
      </c>
      <c r="F5" s="123" t="s">
        <v>56</v>
      </c>
      <c r="G5" s="123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8" customHeight="1" spans="1:7">
      <c r="A6" s="124"/>
      <c r="B6" s="125" t="s">
        <v>40</v>
      </c>
      <c r="C6" s="126">
        <v>25084.22</v>
      </c>
      <c r="D6" s="127">
        <v>6200.03</v>
      </c>
      <c r="E6" s="43">
        <v>4408.68</v>
      </c>
      <c r="F6" s="43">
        <v>1791.35</v>
      </c>
      <c r="G6" s="126">
        <v>18884.19</v>
      </c>
    </row>
    <row r="7" ht="18" customHeight="1" spans="1:7">
      <c r="A7" s="100" t="s">
        <v>57</v>
      </c>
      <c r="B7" s="128" t="s">
        <v>45</v>
      </c>
      <c r="C7" s="126">
        <v>24197.5</v>
      </c>
      <c r="D7" s="127">
        <v>6200.03</v>
      </c>
      <c r="E7" s="43">
        <v>4408.68</v>
      </c>
      <c r="F7" s="43">
        <v>1791.35</v>
      </c>
      <c r="G7" s="126">
        <v>17997.47</v>
      </c>
    </row>
    <row r="8" ht="18" customHeight="1" spans="1:26">
      <c r="A8" s="129" t="s">
        <v>58</v>
      </c>
      <c r="B8" s="128" t="s">
        <v>47</v>
      </c>
      <c r="C8" s="126">
        <v>24197.5</v>
      </c>
      <c r="D8" s="127">
        <v>6200.03</v>
      </c>
      <c r="E8" s="43">
        <v>4408.68</v>
      </c>
      <c r="F8" s="43">
        <v>1791.35</v>
      </c>
      <c r="G8" s="126">
        <v>17997.47</v>
      </c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ht="18" customHeight="1" spans="1:7">
      <c r="A9" s="100" t="s">
        <v>6</v>
      </c>
      <c r="B9" s="128" t="s">
        <v>59</v>
      </c>
      <c r="C9" s="73">
        <f t="shared" ref="C9:C31" si="0">E9+F9+G9</f>
        <v>105</v>
      </c>
      <c r="D9" s="131">
        <f t="shared" ref="D9:D31" si="1">E9+F9</f>
        <v>0</v>
      </c>
      <c r="E9" s="132">
        <v>0</v>
      </c>
      <c r="F9" s="132">
        <v>0</v>
      </c>
      <c r="G9" s="132">
        <v>105</v>
      </c>
    </row>
    <row r="10" ht="18" customHeight="1" spans="1:7">
      <c r="A10" s="100" t="s">
        <v>6</v>
      </c>
      <c r="B10" s="128" t="s">
        <v>60</v>
      </c>
      <c r="C10" s="73">
        <f t="shared" si="0"/>
        <v>595</v>
      </c>
      <c r="D10" s="131">
        <f t="shared" si="1"/>
        <v>0</v>
      </c>
      <c r="E10" s="132">
        <v>0</v>
      </c>
      <c r="F10" s="132">
        <v>0</v>
      </c>
      <c r="G10" s="132">
        <v>595</v>
      </c>
    </row>
    <row r="11" ht="18" customHeight="1" spans="1:7">
      <c r="A11" s="100" t="s">
        <v>6</v>
      </c>
      <c r="B11" s="128" t="s">
        <v>61</v>
      </c>
      <c r="C11" s="73">
        <v>215.79</v>
      </c>
      <c r="D11" s="131">
        <f t="shared" si="1"/>
        <v>0</v>
      </c>
      <c r="E11" s="132">
        <v>0</v>
      </c>
      <c r="F11" s="132">
        <v>0</v>
      </c>
      <c r="G11" s="132">
        <v>215.79</v>
      </c>
    </row>
    <row r="12" ht="18" customHeight="1" spans="1:7">
      <c r="A12" s="100" t="s">
        <v>6</v>
      </c>
      <c r="B12" s="128" t="s">
        <v>62</v>
      </c>
      <c r="C12" s="73">
        <v>180.57</v>
      </c>
      <c r="D12" s="131">
        <f t="shared" si="1"/>
        <v>180.566</v>
      </c>
      <c r="E12" s="131">
        <v>137.8</v>
      </c>
      <c r="F12" s="131">
        <v>42.766</v>
      </c>
      <c r="G12" s="131">
        <v>0</v>
      </c>
    </row>
    <row r="13" ht="18" customHeight="1" spans="1:7">
      <c r="A13" s="100" t="s">
        <v>6</v>
      </c>
      <c r="B13" s="128" t="s">
        <v>63</v>
      </c>
      <c r="C13" s="73">
        <v>330</v>
      </c>
      <c r="D13" s="131">
        <v>330</v>
      </c>
      <c r="E13" s="133">
        <v>330</v>
      </c>
      <c r="F13" s="133"/>
      <c r="G13" s="131">
        <v>0</v>
      </c>
    </row>
    <row r="14" ht="18" customHeight="1" spans="1:7">
      <c r="A14" s="100" t="s">
        <v>6</v>
      </c>
      <c r="B14" s="128" t="s">
        <v>64</v>
      </c>
      <c r="C14" s="73">
        <v>165</v>
      </c>
      <c r="D14" s="131">
        <v>165</v>
      </c>
      <c r="E14" s="131">
        <v>165</v>
      </c>
      <c r="F14" s="131">
        <v>0</v>
      </c>
      <c r="G14" s="131">
        <v>0</v>
      </c>
    </row>
    <row r="15" ht="18" customHeight="1" spans="1:7">
      <c r="A15" s="100" t="s">
        <v>6</v>
      </c>
      <c r="B15" s="128" t="s">
        <v>65</v>
      </c>
      <c r="C15" s="73">
        <f t="shared" si="0"/>
        <v>70</v>
      </c>
      <c r="D15" s="131"/>
      <c r="E15" s="131"/>
      <c r="F15" s="131">
        <v>0</v>
      </c>
      <c r="G15" s="131">
        <v>70</v>
      </c>
    </row>
    <row r="16" ht="18" customHeight="1" spans="1:7">
      <c r="A16" s="100" t="s">
        <v>6</v>
      </c>
      <c r="B16" s="128" t="s">
        <v>66</v>
      </c>
      <c r="C16" s="73">
        <v>420.1</v>
      </c>
      <c r="D16" s="131">
        <f t="shared" si="1"/>
        <v>0</v>
      </c>
      <c r="E16" s="131">
        <v>0</v>
      </c>
      <c r="F16" s="131">
        <v>0</v>
      </c>
      <c r="G16" s="131">
        <v>420.1</v>
      </c>
    </row>
    <row r="17" ht="18" customHeight="1" spans="1:7">
      <c r="A17" s="100" t="s">
        <v>6</v>
      </c>
      <c r="B17" s="128" t="s">
        <v>67</v>
      </c>
      <c r="C17" s="73">
        <v>28</v>
      </c>
      <c r="D17" s="131">
        <f t="shared" si="1"/>
        <v>0</v>
      </c>
      <c r="E17" s="131">
        <v>0</v>
      </c>
      <c r="F17" s="131">
        <v>0</v>
      </c>
      <c r="G17" s="131">
        <v>28</v>
      </c>
    </row>
    <row r="18" ht="18" customHeight="1" spans="1:7">
      <c r="A18" s="100" t="s">
        <v>6</v>
      </c>
      <c r="B18" s="128" t="s">
        <v>68</v>
      </c>
      <c r="C18" s="73">
        <v>142</v>
      </c>
      <c r="D18" s="131">
        <f t="shared" si="1"/>
        <v>0</v>
      </c>
      <c r="E18" s="131">
        <v>0</v>
      </c>
      <c r="F18" s="131">
        <v>0</v>
      </c>
      <c r="G18" s="131">
        <v>142</v>
      </c>
    </row>
    <row r="19" ht="18" customHeight="1" spans="1:7">
      <c r="A19" s="100" t="s">
        <v>6</v>
      </c>
      <c r="B19" s="128" t="s">
        <v>69</v>
      </c>
      <c r="C19" s="73">
        <v>148</v>
      </c>
      <c r="D19" s="131">
        <f t="shared" si="1"/>
        <v>0</v>
      </c>
      <c r="E19" s="131">
        <v>0</v>
      </c>
      <c r="F19" s="131">
        <v>0</v>
      </c>
      <c r="G19" s="73">
        <v>148</v>
      </c>
    </row>
    <row r="20" ht="18" customHeight="1" spans="1:7">
      <c r="A20" s="100" t="s">
        <v>6</v>
      </c>
      <c r="B20" s="128" t="s">
        <v>70</v>
      </c>
      <c r="C20" s="73">
        <v>50.53</v>
      </c>
      <c r="D20" s="131">
        <f t="shared" si="1"/>
        <v>0</v>
      </c>
      <c r="E20" s="131">
        <v>0</v>
      </c>
      <c r="F20" s="131">
        <v>0</v>
      </c>
      <c r="G20" s="73">
        <v>50.53</v>
      </c>
    </row>
    <row r="21" ht="18" customHeight="1" spans="1:7">
      <c r="A21" s="100" t="s">
        <v>6</v>
      </c>
      <c r="B21" s="128" t="s">
        <v>71</v>
      </c>
      <c r="C21" s="73">
        <v>205.5</v>
      </c>
      <c r="D21" s="131">
        <v>205.5</v>
      </c>
      <c r="E21" s="131">
        <v>205.5</v>
      </c>
      <c r="F21" s="131">
        <v>0</v>
      </c>
      <c r="G21" s="131"/>
    </row>
    <row r="22" ht="18" customHeight="1" spans="1:7">
      <c r="A22" s="100" t="s">
        <v>6</v>
      </c>
      <c r="B22" s="128" t="s">
        <v>72</v>
      </c>
      <c r="C22" s="73">
        <f t="shared" si="0"/>
        <v>42.5</v>
      </c>
      <c r="D22" s="131">
        <v>42.5</v>
      </c>
      <c r="E22" s="131">
        <v>42.5</v>
      </c>
      <c r="F22" s="131">
        <v>0</v>
      </c>
      <c r="G22" s="131">
        <v>0</v>
      </c>
    </row>
    <row r="23" ht="18" customHeight="1" spans="1:7">
      <c r="A23" s="100" t="s">
        <v>6</v>
      </c>
      <c r="B23" s="128" t="s">
        <v>73</v>
      </c>
      <c r="C23" s="73">
        <f t="shared" si="0"/>
        <v>3524.062998</v>
      </c>
      <c r="D23" s="131">
        <f t="shared" ref="D23:D25" si="2">E23+F23</f>
        <v>3524.062998</v>
      </c>
      <c r="E23" s="131">
        <v>1957.710998</v>
      </c>
      <c r="F23" s="131">
        <v>1566.352</v>
      </c>
      <c r="G23" s="131">
        <v>0</v>
      </c>
    </row>
    <row r="24" ht="18" customHeight="1" spans="1:7">
      <c r="A24" s="100" t="s">
        <v>6</v>
      </c>
      <c r="B24" s="128" t="s">
        <v>74</v>
      </c>
      <c r="C24" s="73">
        <f t="shared" si="0"/>
        <v>988.157</v>
      </c>
      <c r="D24" s="131">
        <f t="shared" si="2"/>
        <v>988.157</v>
      </c>
      <c r="E24" s="131">
        <v>805.925</v>
      </c>
      <c r="F24" s="131">
        <v>182.232</v>
      </c>
      <c r="G24" s="131">
        <v>0</v>
      </c>
    </row>
    <row r="25" ht="18" customHeight="1" spans="1:7">
      <c r="A25" s="100" t="s">
        <v>6</v>
      </c>
      <c r="B25" s="128" t="s">
        <v>75</v>
      </c>
      <c r="C25" s="73">
        <v>15843.39</v>
      </c>
      <c r="D25" s="131"/>
      <c r="E25" s="131"/>
      <c r="F25" s="131"/>
      <c r="G25" s="73">
        <v>15843.39</v>
      </c>
    </row>
    <row r="26" ht="18" customHeight="1" spans="1:7">
      <c r="A26" s="100" t="s">
        <v>6</v>
      </c>
      <c r="B26" s="128" t="s">
        <v>76</v>
      </c>
      <c r="C26" s="73">
        <f t="shared" si="0"/>
        <v>253</v>
      </c>
      <c r="D26" s="131"/>
      <c r="E26" s="131"/>
      <c r="F26" s="131"/>
      <c r="G26" s="131">
        <v>253</v>
      </c>
    </row>
    <row r="27" ht="18" customHeight="1" spans="1:7">
      <c r="A27" s="100" t="s">
        <v>6</v>
      </c>
      <c r="B27" s="128" t="s">
        <v>77</v>
      </c>
      <c r="C27" s="73">
        <f t="shared" si="0"/>
        <v>362</v>
      </c>
      <c r="D27" s="131">
        <v>362</v>
      </c>
      <c r="E27" s="131">
        <v>362</v>
      </c>
      <c r="F27" s="131"/>
      <c r="G27" s="131"/>
    </row>
    <row r="28" ht="18" customHeight="1" spans="1:7">
      <c r="A28" s="100" t="s">
        <v>6</v>
      </c>
      <c r="B28" s="128" t="s">
        <v>78</v>
      </c>
      <c r="C28" s="73">
        <f t="shared" si="0"/>
        <v>402.24</v>
      </c>
      <c r="D28" s="131">
        <f>E28+F28</f>
        <v>402.24</v>
      </c>
      <c r="E28" s="131">
        <v>402.24</v>
      </c>
      <c r="F28" s="131">
        <v>0</v>
      </c>
      <c r="G28" s="131"/>
    </row>
    <row r="29" ht="18" customHeight="1" spans="1:7">
      <c r="A29" s="100"/>
      <c r="B29" s="134" t="s">
        <v>79</v>
      </c>
      <c r="C29" s="73">
        <f t="shared" si="0"/>
        <v>126.66</v>
      </c>
      <c r="D29" s="131">
        <f>E29+F29</f>
        <v>0</v>
      </c>
      <c r="E29" s="132">
        <v>0</v>
      </c>
      <c r="F29" s="132">
        <v>0</v>
      </c>
      <c r="G29" s="131">
        <v>126.66</v>
      </c>
    </row>
    <row r="30" ht="18" customHeight="1" spans="1:7">
      <c r="A30" s="100"/>
      <c r="B30" s="128"/>
      <c r="C30" s="73"/>
      <c r="D30" s="131"/>
      <c r="E30" s="131"/>
      <c r="F30" s="131"/>
      <c r="G30" s="131"/>
    </row>
    <row r="31" ht="18" customHeight="1" spans="1:7">
      <c r="A31" s="100" t="s">
        <v>80</v>
      </c>
      <c r="B31" s="128" t="s">
        <v>81</v>
      </c>
      <c r="C31" s="73"/>
      <c r="D31" s="131"/>
      <c r="E31" s="131"/>
      <c r="F31" s="131"/>
      <c r="G31" s="131"/>
    </row>
    <row r="32" ht="18" customHeight="1" spans="1:7">
      <c r="A32" s="100" t="s">
        <v>6</v>
      </c>
      <c r="B32" s="128"/>
      <c r="C32" s="73"/>
      <c r="D32" s="131"/>
      <c r="E32" s="131"/>
      <c r="F32" s="131"/>
      <c r="G32" s="131"/>
    </row>
    <row r="33" ht="18" customHeight="1" spans="1:7">
      <c r="A33" s="100" t="s">
        <v>82</v>
      </c>
      <c r="B33" s="128" t="s">
        <v>83</v>
      </c>
      <c r="C33" s="73"/>
      <c r="D33" s="131"/>
      <c r="E33" s="131"/>
      <c r="F33" s="131"/>
      <c r="G33" s="131"/>
    </row>
    <row r="34" ht="18" customHeight="1" spans="1:7">
      <c r="A34" s="100" t="s">
        <v>84</v>
      </c>
      <c r="B34" s="128" t="s">
        <v>85</v>
      </c>
      <c r="C34" s="126">
        <v>0</v>
      </c>
      <c r="D34" s="127">
        <v>0</v>
      </c>
      <c r="E34" s="131">
        <v>0</v>
      </c>
      <c r="F34" s="131">
        <v>0</v>
      </c>
      <c r="G34" s="131">
        <v>0</v>
      </c>
    </row>
    <row r="35" ht="18" customHeight="1" spans="1:7">
      <c r="A35" s="100" t="s">
        <v>86</v>
      </c>
      <c r="B35" s="128" t="s">
        <v>87</v>
      </c>
      <c r="C35" s="126">
        <v>0</v>
      </c>
      <c r="D35" s="127">
        <v>0</v>
      </c>
      <c r="E35" s="131">
        <v>0</v>
      </c>
      <c r="F35" s="131">
        <v>0</v>
      </c>
      <c r="G35" s="131">
        <v>0</v>
      </c>
    </row>
    <row r="36" ht="18" customHeight="1" spans="1:7">
      <c r="A36" s="100" t="s">
        <v>88</v>
      </c>
      <c r="B36" s="128" t="s">
        <v>89</v>
      </c>
      <c r="C36" s="126">
        <v>886.72</v>
      </c>
      <c r="D36" s="127">
        <v>0</v>
      </c>
      <c r="E36" s="131">
        <v>0</v>
      </c>
      <c r="F36" s="131">
        <v>0</v>
      </c>
      <c r="G36" s="131">
        <v>886.72</v>
      </c>
    </row>
    <row r="37" ht="18" customHeight="1" spans="1:7">
      <c r="A37" s="100" t="s">
        <v>58</v>
      </c>
      <c r="B37" s="128" t="s">
        <v>48</v>
      </c>
      <c r="C37" s="126">
        <v>0</v>
      </c>
      <c r="D37" s="127">
        <v>0</v>
      </c>
      <c r="E37" s="126">
        <v>0</v>
      </c>
      <c r="F37" s="126">
        <v>0</v>
      </c>
      <c r="G37" s="126">
        <v>0</v>
      </c>
    </row>
    <row r="38" ht="18" customHeight="1" spans="1:7">
      <c r="A38" s="100" t="s">
        <v>80</v>
      </c>
      <c r="B38" s="128" t="s">
        <v>49</v>
      </c>
      <c r="C38" s="126">
        <v>886.72</v>
      </c>
      <c r="D38" s="127">
        <v>0</v>
      </c>
      <c r="E38" s="126">
        <v>0</v>
      </c>
      <c r="F38" s="126">
        <v>0</v>
      </c>
      <c r="G38" s="126">
        <v>886.72</v>
      </c>
    </row>
    <row r="39" ht="18" customHeight="1" spans="1:7">
      <c r="A39" s="100" t="s">
        <v>82</v>
      </c>
      <c r="B39" s="128" t="s">
        <v>90</v>
      </c>
      <c r="C39" s="126">
        <v>0</v>
      </c>
      <c r="D39" s="127">
        <v>0</v>
      </c>
      <c r="E39" s="126">
        <v>0</v>
      </c>
      <c r="F39" s="126">
        <v>0</v>
      </c>
      <c r="G39" s="126">
        <v>0</v>
      </c>
    </row>
    <row r="40" ht="18" customHeight="1" spans="1:7">
      <c r="A40" s="100" t="s">
        <v>91</v>
      </c>
      <c r="B40" s="128" t="s">
        <v>92</v>
      </c>
      <c r="C40" s="135">
        <v>0</v>
      </c>
      <c r="D40" s="127">
        <v>0</v>
      </c>
      <c r="E40" s="126"/>
      <c r="F40" s="126"/>
      <c r="G40" s="126"/>
    </row>
    <row r="41" ht="18" customHeight="1" spans="1:7">
      <c r="A41" s="100" t="s">
        <v>93</v>
      </c>
      <c r="B41" s="128" t="s">
        <v>89</v>
      </c>
      <c r="C41" s="135"/>
      <c r="D41" s="127"/>
      <c r="E41" s="126"/>
      <c r="F41" s="126"/>
      <c r="G41" s="126"/>
    </row>
    <row r="42" ht="18" customHeight="1" spans="1:7">
      <c r="A42" s="100" t="s">
        <v>94</v>
      </c>
      <c r="B42" s="128" t="s">
        <v>95</v>
      </c>
      <c r="C42" s="135"/>
      <c r="D42" s="127"/>
      <c r="E42" s="126"/>
      <c r="F42" s="126"/>
      <c r="G42" s="126"/>
    </row>
    <row r="43" ht="18" customHeight="1" spans="1:7">
      <c r="A43" s="100" t="s">
        <v>96</v>
      </c>
      <c r="B43" s="128" t="s">
        <v>97</v>
      </c>
      <c r="C43" s="135"/>
      <c r="D43" s="127"/>
      <c r="E43" s="126"/>
      <c r="F43" s="126"/>
      <c r="G43" s="126"/>
    </row>
    <row r="44" ht="18" customHeight="1" spans="1:7">
      <c r="A44" s="100" t="s">
        <v>98</v>
      </c>
      <c r="B44" s="128" t="s">
        <v>99</v>
      </c>
      <c r="C44" s="135"/>
      <c r="D44" s="127"/>
      <c r="E44" s="126"/>
      <c r="F44" s="126"/>
      <c r="G44" s="126"/>
    </row>
  </sheetData>
  <mergeCells count="8">
    <mergeCell ref="A1:G1"/>
    <mergeCell ref="A2:C2"/>
    <mergeCell ref="C3:G3"/>
    <mergeCell ref="D4:F4"/>
    <mergeCell ref="A3:A5"/>
    <mergeCell ref="B3:B5"/>
    <mergeCell ref="C4:C5"/>
    <mergeCell ref="G4:G5"/>
  </mergeCells>
  <printOptions horizontalCentered="1"/>
  <pageMargins left="0.118110236220472" right="0" top="0.354330708661417" bottom="0" header="0.31496062992126" footer="0.31496062992126"/>
  <pageSetup paperSize="9" scale="6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6"/>
  <sheetViews>
    <sheetView showRuler="0" workbookViewId="0">
      <selection activeCell="V9" sqref="V9"/>
    </sheetView>
  </sheetViews>
  <sheetFormatPr defaultColWidth="9" defaultRowHeight="15"/>
  <cols>
    <col min="1" max="1" width="4.14285714285714" customWidth="1"/>
    <col min="2" max="2" width="15.7142857142857" customWidth="1"/>
    <col min="3" max="3" width="11.5714285714286" customWidth="1"/>
    <col min="4" max="4" width="13.4285714285714" customWidth="1"/>
    <col min="5" max="5" width="15.4285714285714" customWidth="1"/>
    <col min="6" max="6" width="10.8571428571429" customWidth="1"/>
    <col min="7" max="7" width="9.28571428571429" customWidth="1"/>
    <col min="8" max="8" width="9.57142857142857" customWidth="1"/>
    <col min="9" max="9" width="9.85714285714286" customWidth="1"/>
    <col min="10" max="10" width="10.2857142857143" customWidth="1"/>
    <col min="11" max="11" width="10.4285714285714" customWidth="1"/>
    <col min="12" max="12" width="3.42857142857143" hidden="1" customWidth="1"/>
    <col min="13" max="13" width="10.4285714285714" customWidth="1"/>
    <col min="14" max="14" width="9.85714285714286" customWidth="1"/>
    <col min="15" max="15" width="10.5714285714286" customWidth="1"/>
    <col min="16" max="16" width="4.85714285714286" hidden="1" customWidth="1"/>
    <col min="17" max="17" width="5.71428571428571" hidden="1" customWidth="1"/>
    <col min="18" max="18" width="5.42857142857143" hidden="1" customWidth="1"/>
    <col min="19" max="19" width="5.85714285714286" hidden="1" customWidth="1"/>
    <col min="20" max="20" width="9.14285714285714" customWidth="1"/>
    <col min="21" max="21" width="5.71428571428571" hidden="1" customWidth="1"/>
    <col min="22" max="22" width="13.1428571428571" customWidth="1"/>
    <col min="23" max="23" width="5.14285714285714" hidden="1" customWidth="1"/>
    <col min="24" max="24" width="5.57142857142857" hidden="1" customWidth="1"/>
    <col min="25" max="25" width="5.85714285714286" hidden="1" customWidth="1"/>
    <col min="26" max="26" width="7.14285714285714" customWidth="1"/>
  </cols>
  <sheetData>
    <row r="1" ht="30" customHeight="1" spans="1:26">
      <c r="A1" s="111" t="s">
        <v>100</v>
      </c>
      <c r="B1" s="112"/>
      <c r="C1" s="97"/>
      <c r="D1" s="97"/>
      <c r="E1" s="97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ht="20.25" customHeight="1" spans="1:26">
      <c r="A2" s="113" t="s">
        <v>5</v>
      </c>
      <c r="B2" s="113"/>
      <c r="C2" s="113"/>
      <c r="D2" s="113"/>
      <c r="E2" s="113"/>
      <c r="V2" s="108" t="s">
        <v>7</v>
      </c>
      <c r="W2" s="108"/>
      <c r="X2" s="108"/>
      <c r="Y2" s="108"/>
      <c r="Z2" s="108"/>
    </row>
    <row r="3" ht="21" customHeight="1" spans="1:26">
      <c r="A3" s="114" t="s">
        <v>36</v>
      </c>
      <c r="B3" s="40" t="s">
        <v>37</v>
      </c>
      <c r="C3" s="27" t="s">
        <v>101</v>
      </c>
      <c r="D3" s="27" t="s">
        <v>102</v>
      </c>
      <c r="E3" s="27" t="s">
        <v>103</v>
      </c>
      <c r="F3" s="40" t="s">
        <v>104</v>
      </c>
      <c r="G3" s="40"/>
      <c r="H3" s="40"/>
      <c r="I3" s="40"/>
      <c r="J3" s="40"/>
      <c r="K3" s="40"/>
      <c r="L3" s="40"/>
      <c r="M3" s="118" t="s">
        <v>105</v>
      </c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</row>
    <row r="4" ht="21" customHeight="1" spans="1:26">
      <c r="A4" s="114"/>
      <c r="B4" s="40"/>
      <c r="C4" s="27"/>
      <c r="D4" s="27"/>
      <c r="E4" s="27"/>
      <c r="F4" s="25" t="s">
        <v>40</v>
      </c>
      <c r="G4" s="25" t="s">
        <v>42</v>
      </c>
      <c r="H4" s="25"/>
      <c r="I4" s="25"/>
      <c r="J4" s="25" t="s">
        <v>43</v>
      </c>
      <c r="K4" s="25"/>
      <c r="L4" s="25"/>
      <c r="M4" s="119" t="s">
        <v>40</v>
      </c>
      <c r="N4" s="25" t="s">
        <v>106</v>
      </c>
      <c r="O4" s="25"/>
      <c r="P4" s="25"/>
      <c r="Q4" s="25"/>
      <c r="R4" s="26" t="s">
        <v>107</v>
      </c>
      <c r="S4" s="29" t="s">
        <v>108</v>
      </c>
      <c r="T4" s="26" t="s">
        <v>109</v>
      </c>
      <c r="U4" s="26"/>
      <c r="V4" s="26"/>
      <c r="W4" s="26"/>
      <c r="X4" s="26"/>
      <c r="Y4" s="26"/>
      <c r="Z4" s="25" t="s">
        <v>110</v>
      </c>
    </row>
    <row r="5" ht="48" customHeight="1" spans="1:26">
      <c r="A5" s="114"/>
      <c r="B5" s="40"/>
      <c r="C5" s="27"/>
      <c r="D5" s="27"/>
      <c r="E5" s="27"/>
      <c r="F5" s="25"/>
      <c r="G5" s="25" t="s">
        <v>44</v>
      </c>
      <c r="H5" s="25" t="s">
        <v>111</v>
      </c>
      <c r="I5" s="25" t="s">
        <v>112</v>
      </c>
      <c r="J5" s="25" t="s">
        <v>44</v>
      </c>
      <c r="K5" s="25" t="s">
        <v>113</v>
      </c>
      <c r="L5" s="25" t="s">
        <v>114</v>
      </c>
      <c r="M5" s="119"/>
      <c r="N5" s="25" t="s">
        <v>44</v>
      </c>
      <c r="O5" s="25" t="s">
        <v>115</v>
      </c>
      <c r="P5" s="25" t="s">
        <v>116</v>
      </c>
      <c r="Q5" s="25" t="s">
        <v>117</v>
      </c>
      <c r="R5" s="26"/>
      <c r="S5" s="29"/>
      <c r="T5" s="46" t="s">
        <v>44</v>
      </c>
      <c r="U5" s="26" t="s">
        <v>118</v>
      </c>
      <c r="V5" s="26" t="s">
        <v>119</v>
      </c>
      <c r="W5" s="26" t="s">
        <v>120</v>
      </c>
      <c r="X5" s="26" t="s">
        <v>121</v>
      </c>
      <c r="Y5" s="26" t="s">
        <v>122</v>
      </c>
      <c r="Z5" s="25"/>
    </row>
    <row r="6" ht="23.25" customHeight="1" spans="1:26">
      <c r="A6" s="115" t="s">
        <v>40</v>
      </c>
      <c r="B6" s="115"/>
      <c r="C6" s="115"/>
      <c r="D6" s="115"/>
      <c r="E6" s="115"/>
      <c r="F6" s="14">
        <v>25084.215998</v>
      </c>
      <c r="G6" s="14">
        <v>6200.025998</v>
      </c>
      <c r="H6" s="14">
        <v>4408.675998</v>
      </c>
      <c r="I6" s="14">
        <v>1791.35</v>
      </c>
      <c r="J6" s="14">
        <v>18884.19</v>
      </c>
      <c r="K6" s="14">
        <v>18884.19</v>
      </c>
      <c r="L6" s="14">
        <v>0</v>
      </c>
      <c r="M6" s="14">
        <v>25084.215998</v>
      </c>
      <c r="N6" s="14">
        <v>24197.495998</v>
      </c>
      <c r="O6" s="14">
        <v>24197.495998</v>
      </c>
      <c r="P6" s="14">
        <v>0</v>
      </c>
      <c r="Q6" s="14">
        <v>0</v>
      </c>
      <c r="R6" s="14">
        <v>0</v>
      </c>
      <c r="S6" s="14">
        <v>0</v>
      </c>
      <c r="T6" s="14">
        <v>886.72</v>
      </c>
      <c r="U6" s="14">
        <v>0</v>
      </c>
      <c r="V6" s="14">
        <v>886.72</v>
      </c>
      <c r="W6" s="43">
        <v>0</v>
      </c>
      <c r="X6" s="43">
        <v>0</v>
      </c>
      <c r="Y6" s="43"/>
      <c r="Z6" s="43">
        <v>0</v>
      </c>
    </row>
    <row r="7" s="58" customFormat="1" ht="23.25" customHeight="1" spans="1:26">
      <c r="A7" s="7">
        <f>7-6</f>
        <v>1</v>
      </c>
      <c r="B7" s="94" t="s">
        <v>50</v>
      </c>
      <c r="C7" s="94"/>
      <c r="D7" s="94"/>
      <c r="E7" s="94"/>
      <c r="F7" s="14">
        <f t="shared" ref="F7:F53" si="0">G7+J7</f>
        <v>25084.215998</v>
      </c>
      <c r="G7" s="14">
        <f t="shared" ref="G7:G53" si="1">H7+I7</f>
        <v>6200.025998</v>
      </c>
      <c r="H7" s="14">
        <f t="shared" ref="H7:L7" si="2">SUM(H8,H11,H14,H31,H39,H44,H47,H51)</f>
        <v>4408.675998</v>
      </c>
      <c r="I7" s="14">
        <f t="shared" si="2"/>
        <v>1791.35</v>
      </c>
      <c r="J7" s="14">
        <f t="shared" ref="J7:J53" si="3">K7+L7</f>
        <v>18884.19</v>
      </c>
      <c r="K7" s="14">
        <f t="shared" si="2"/>
        <v>18884.19</v>
      </c>
      <c r="L7" s="14">
        <f t="shared" si="2"/>
        <v>0</v>
      </c>
      <c r="M7" s="14">
        <f t="shared" ref="M7:M53" si="4">N7+R7+S7+T7+Z7</f>
        <v>25084.215998</v>
      </c>
      <c r="N7" s="14">
        <f t="shared" ref="N7:N53" si="5">O7+P7+Q7</f>
        <v>24197.495998</v>
      </c>
      <c r="O7" s="14">
        <f t="shared" ref="O7:S7" si="6">SUM(O8,O11,O14,O31,O39,O44,O47,O51)</f>
        <v>24197.495998</v>
      </c>
      <c r="P7" s="14">
        <f t="shared" si="6"/>
        <v>0</v>
      </c>
      <c r="Q7" s="14">
        <f t="shared" si="6"/>
        <v>0</v>
      </c>
      <c r="R7" s="14">
        <f t="shared" si="6"/>
        <v>0</v>
      </c>
      <c r="S7" s="14">
        <f t="shared" si="6"/>
        <v>0</v>
      </c>
      <c r="T7" s="14">
        <f t="shared" ref="T7:T53" si="7">U7+V7+W7+X7+Y7</f>
        <v>886.72</v>
      </c>
      <c r="U7" s="14">
        <f t="shared" ref="U7:Z7" si="8">SUM(U8,U11,U14,U31,U39,U44,U47,U51)</f>
        <v>0</v>
      </c>
      <c r="V7" s="14">
        <f t="shared" si="8"/>
        <v>886.72</v>
      </c>
      <c r="W7" s="14">
        <f t="shared" si="8"/>
        <v>0</v>
      </c>
      <c r="X7" s="14">
        <f t="shared" si="8"/>
        <v>0</v>
      </c>
      <c r="Y7" s="14">
        <f t="shared" si="8"/>
        <v>0</v>
      </c>
      <c r="Z7" s="14">
        <f t="shared" si="8"/>
        <v>0</v>
      </c>
    </row>
    <row r="8" s="58" customFormat="1" ht="23.25" customHeight="1" spans="1:26">
      <c r="A8" s="7">
        <f>8-6</f>
        <v>2</v>
      </c>
      <c r="B8" s="94"/>
      <c r="C8" s="94" t="s">
        <v>123</v>
      </c>
      <c r="D8" s="94"/>
      <c r="E8" s="94"/>
      <c r="F8" s="14">
        <f t="shared" si="0"/>
        <v>105</v>
      </c>
      <c r="G8" s="14">
        <f t="shared" si="1"/>
        <v>0</v>
      </c>
      <c r="H8" s="14">
        <f t="shared" ref="H8:L8" si="9">SUM(H9)</f>
        <v>0</v>
      </c>
      <c r="I8" s="14">
        <f t="shared" si="9"/>
        <v>0</v>
      </c>
      <c r="J8" s="14">
        <f t="shared" si="3"/>
        <v>105</v>
      </c>
      <c r="K8" s="14">
        <f t="shared" si="9"/>
        <v>105</v>
      </c>
      <c r="L8" s="14">
        <f t="shared" si="9"/>
        <v>0</v>
      </c>
      <c r="M8" s="14">
        <f t="shared" si="4"/>
        <v>105</v>
      </c>
      <c r="N8" s="14">
        <f t="shared" si="5"/>
        <v>105</v>
      </c>
      <c r="O8" s="14">
        <f t="shared" ref="O8:S8" si="10">SUM(O9)</f>
        <v>105</v>
      </c>
      <c r="P8" s="14">
        <f t="shared" si="10"/>
        <v>0</v>
      </c>
      <c r="Q8" s="14">
        <f t="shared" si="10"/>
        <v>0</v>
      </c>
      <c r="R8" s="14">
        <f t="shared" si="10"/>
        <v>0</v>
      </c>
      <c r="S8" s="14">
        <f t="shared" si="10"/>
        <v>0</v>
      </c>
      <c r="T8" s="14">
        <f t="shared" si="7"/>
        <v>0</v>
      </c>
      <c r="U8" s="14">
        <f t="shared" ref="U8:Z8" si="11">SUM(U9)</f>
        <v>0</v>
      </c>
      <c r="V8" s="14">
        <f t="shared" si="11"/>
        <v>0</v>
      </c>
      <c r="W8" s="14">
        <f t="shared" si="11"/>
        <v>0</v>
      </c>
      <c r="X8" s="14">
        <f t="shared" si="11"/>
        <v>0</v>
      </c>
      <c r="Y8" s="14">
        <f t="shared" si="11"/>
        <v>0</v>
      </c>
      <c r="Z8" s="14">
        <f t="shared" si="11"/>
        <v>0</v>
      </c>
    </row>
    <row r="9" s="58" customFormat="1" ht="23.25" customHeight="1" spans="1:26">
      <c r="A9" s="7">
        <f>9-6</f>
        <v>3</v>
      </c>
      <c r="B9" s="94"/>
      <c r="C9" s="94"/>
      <c r="D9" s="94" t="s">
        <v>124</v>
      </c>
      <c r="E9" s="94"/>
      <c r="F9" s="14">
        <f t="shared" si="0"/>
        <v>105</v>
      </c>
      <c r="G9" s="14">
        <f t="shared" si="1"/>
        <v>0</v>
      </c>
      <c r="H9" s="14">
        <f t="shared" ref="H9:L9" si="12">SUM(H10)</f>
        <v>0</v>
      </c>
      <c r="I9" s="14">
        <f t="shared" si="12"/>
        <v>0</v>
      </c>
      <c r="J9" s="14">
        <f t="shared" si="3"/>
        <v>105</v>
      </c>
      <c r="K9" s="14">
        <f t="shared" si="12"/>
        <v>105</v>
      </c>
      <c r="L9" s="14">
        <f t="shared" si="12"/>
        <v>0</v>
      </c>
      <c r="M9" s="14">
        <f t="shared" si="4"/>
        <v>105</v>
      </c>
      <c r="N9" s="14">
        <f t="shared" si="5"/>
        <v>105</v>
      </c>
      <c r="O9" s="14">
        <f t="shared" ref="O9:S9" si="13">SUM(O10)</f>
        <v>105</v>
      </c>
      <c r="P9" s="14">
        <f t="shared" si="13"/>
        <v>0</v>
      </c>
      <c r="Q9" s="14">
        <f t="shared" si="13"/>
        <v>0</v>
      </c>
      <c r="R9" s="14">
        <f t="shared" si="13"/>
        <v>0</v>
      </c>
      <c r="S9" s="14">
        <f t="shared" si="13"/>
        <v>0</v>
      </c>
      <c r="T9" s="14">
        <f t="shared" si="7"/>
        <v>0</v>
      </c>
      <c r="U9" s="14">
        <f t="shared" ref="U9:Z9" si="14">SUM(U10)</f>
        <v>0</v>
      </c>
      <c r="V9" s="14">
        <f t="shared" si="14"/>
        <v>0</v>
      </c>
      <c r="W9" s="14">
        <f t="shared" si="14"/>
        <v>0</v>
      </c>
      <c r="X9" s="14">
        <f t="shared" si="14"/>
        <v>0</v>
      </c>
      <c r="Y9" s="14">
        <f t="shared" si="14"/>
        <v>0</v>
      </c>
      <c r="Z9" s="14">
        <f t="shared" si="14"/>
        <v>0</v>
      </c>
    </row>
    <row r="10" s="58" customFormat="1" ht="23.25" customHeight="1" spans="1:26">
      <c r="A10" s="7">
        <f>10-6</f>
        <v>4</v>
      </c>
      <c r="B10" s="94"/>
      <c r="C10" s="94"/>
      <c r="D10" s="94"/>
      <c r="E10" s="94" t="s">
        <v>59</v>
      </c>
      <c r="F10" s="14">
        <f t="shared" si="0"/>
        <v>105</v>
      </c>
      <c r="G10" s="14">
        <f t="shared" si="1"/>
        <v>0</v>
      </c>
      <c r="H10" s="14">
        <v>0</v>
      </c>
      <c r="I10" s="14">
        <v>0</v>
      </c>
      <c r="J10" s="14">
        <f t="shared" si="3"/>
        <v>105</v>
      </c>
      <c r="K10" s="14">
        <v>105</v>
      </c>
      <c r="L10" s="14">
        <v>0</v>
      </c>
      <c r="M10" s="14">
        <f t="shared" si="4"/>
        <v>105</v>
      </c>
      <c r="N10" s="14">
        <f t="shared" si="5"/>
        <v>105</v>
      </c>
      <c r="O10" s="14">
        <v>105</v>
      </c>
      <c r="P10" s="14">
        <v>0</v>
      </c>
      <c r="Q10" s="14">
        <v>0</v>
      </c>
      <c r="R10" s="14">
        <v>0</v>
      </c>
      <c r="S10" s="14">
        <v>0</v>
      </c>
      <c r="T10" s="14">
        <f t="shared" si="7"/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</row>
    <row r="11" s="58" customFormat="1" ht="23.25" customHeight="1" spans="1:26">
      <c r="A11" s="7">
        <f>11-6</f>
        <v>5</v>
      </c>
      <c r="B11" s="94"/>
      <c r="C11" s="94" t="s">
        <v>125</v>
      </c>
      <c r="D11" s="94"/>
      <c r="E11" s="94"/>
      <c r="F11" s="14">
        <f t="shared" si="0"/>
        <v>595</v>
      </c>
      <c r="G11" s="14">
        <f t="shared" si="1"/>
        <v>0</v>
      </c>
      <c r="H11" s="14">
        <f t="shared" ref="H11:L11" si="15">SUM(H12)</f>
        <v>0</v>
      </c>
      <c r="I11" s="14">
        <f t="shared" si="15"/>
        <v>0</v>
      </c>
      <c r="J11" s="14">
        <f t="shared" si="3"/>
        <v>595</v>
      </c>
      <c r="K11" s="14">
        <f t="shared" si="15"/>
        <v>595</v>
      </c>
      <c r="L11" s="14">
        <f t="shared" si="15"/>
        <v>0</v>
      </c>
      <c r="M11" s="14">
        <f t="shared" si="4"/>
        <v>595</v>
      </c>
      <c r="N11" s="14">
        <f t="shared" si="5"/>
        <v>595</v>
      </c>
      <c r="O11" s="14">
        <f t="shared" ref="O11:S11" si="16">SUM(O12)</f>
        <v>595</v>
      </c>
      <c r="P11" s="14">
        <f t="shared" si="16"/>
        <v>0</v>
      </c>
      <c r="Q11" s="14">
        <f t="shared" si="16"/>
        <v>0</v>
      </c>
      <c r="R11" s="14">
        <f t="shared" si="16"/>
        <v>0</v>
      </c>
      <c r="S11" s="14">
        <f t="shared" si="16"/>
        <v>0</v>
      </c>
      <c r="T11" s="14">
        <f t="shared" si="7"/>
        <v>0</v>
      </c>
      <c r="U11" s="14">
        <f t="shared" ref="U11:Z11" si="17">SUM(U12)</f>
        <v>0</v>
      </c>
      <c r="V11" s="14">
        <f t="shared" si="17"/>
        <v>0</v>
      </c>
      <c r="W11" s="14">
        <f t="shared" si="17"/>
        <v>0</v>
      </c>
      <c r="X11" s="14">
        <f t="shared" si="17"/>
        <v>0</v>
      </c>
      <c r="Y11" s="14">
        <f t="shared" si="17"/>
        <v>0</v>
      </c>
      <c r="Z11" s="14">
        <f t="shared" si="17"/>
        <v>0</v>
      </c>
    </row>
    <row r="12" s="58" customFormat="1" ht="23.25" customHeight="1" spans="1:26">
      <c r="A12" s="7">
        <f>12-6</f>
        <v>6</v>
      </c>
      <c r="B12" s="94"/>
      <c r="C12" s="94"/>
      <c r="D12" s="94" t="s">
        <v>126</v>
      </c>
      <c r="E12" s="94"/>
      <c r="F12" s="14">
        <f t="shared" si="0"/>
        <v>595</v>
      </c>
      <c r="G12" s="14">
        <f t="shared" si="1"/>
        <v>0</v>
      </c>
      <c r="H12" s="14">
        <f t="shared" ref="H12:L12" si="18">SUM(H13)</f>
        <v>0</v>
      </c>
      <c r="I12" s="14">
        <f t="shared" si="18"/>
        <v>0</v>
      </c>
      <c r="J12" s="14">
        <f t="shared" si="3"/>
        <v>595</v>
      </c>
      <c r="K12" s="14">
        <f t="shared" si="18"/>
        <v>595</v>
      </c>
      <c r="L12" s="14">
        <f t="shared" si="18"/>
        <v>0</v>
      </c>
      <c r="M12" s="14">
        <f t="shared" si="4"/>
        <v>595</v>
      </c>
      <c r="N12" s="14">
        <f t="shared" si="5"/>
        <v>595</v>
      </c>
      <c r="O12" s="14">
        <f t="shared" ref="O12:S12" si="19">SUM(O13)</f>
        <v>595</v>
      </c>
      <c r="P12" s="14">
        <f t="shared" si="19"/>
        <v>0</v>
      </c>
      <c r="Q12" s="14">
        <f t="shared" si="19"/>
        <v>0</v>
      </c>
      <c r="R12" s="14">
        <f t="shared" si="19"/>
        <v>0</v>
      </c>
      <c r="S12" s="14">
        <f t="shared" si="19"/>
        <v>0</v>
      </c>
      <c r="T12" s="14">
        <f t="shared" si="7"/>
        <v>0</v>
      </c>
      <c r="U12" s="14">
        <f t="shared" ref="U12:Z12" si="20">SUM(U13)</f>
        <v>0</v>
      </c>
      <c r="V12" s="14">
        <f t="shared" si="20"/>
        <v>0</v>
      </c>
      <c r="W12" s="14">
        <f t="shared" si="20"/>
        <v>0</v>
      </c>
      <c r="X12" s="14">
        <f t="shared" si="20"/>
        <v>0</v>
      </c>
      <c r="Y12" s="14">
        <f t="shared" si="20"/>
        <v>0</v>
      </c>
      <c r="Z12" s="14">
        <f t="shared" si="20"/>
        <v>0</v>
      </c>
    </row>
    <row r="13" s="58" customFormat="1" ht="23.25" customHeight="1" spans="1:26">
      <c r="A13" s="7">
        <f>13-6</f>
        <v>7</v>
      </c>
      <c r="B13" s="94"/>
      <c r="C13" s="94"/>
      <c r="D13" s="94"/>
      <c r="E13" s="94" t="s">
        <v>60</v>
      </c>
      <c r="F13" s="14">
        <f t="shared" si="0"/>
        <v>595</v>
      </c>
      <c r="G13" s="14">
        <f t="shared" si="1"/>
        <v>0</v>
      </c>
      <c r="H13" s="14">
        <v>0</v>
      </c>
      <c r="I13" s="14">
        <v>0</v>
      </c>
      <c r="J13" s="14">
        <f t="shared" si="3"/>
        <v>595</v>
      </c>
      <c r="K13" s="14">
        <v>595</v>
      </c>
      <c r="L13" s="14">
        <v>0</v>
      </c>
      <c r="M13" s="14">
        <f t="shared" si="4"/>
        <v>595</v>
      </c>
      <c r="N13" s="14">
        <f t="shared" si="5"/>
        <v>595</v>
      </c>
      <c r="O13" s="14">
        <v>595</v>
      </c>
      <c r="P13" s="14">
        <v>0</v>
      </c>
      <c r="Q13" s="14">
        <v>0</v>
      </c>
      <c r="R13" s="14">
        <v>0</v>
      </c>
      <c r="S13" s="14">
        <v>0</v>
      </c>
      <c r="T13" s="14">
        <f t="shared" si="7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</row>
    <row r="14" s="58" customFormat="1" ht="23.25" customHeight="1" spans="1:26">
      <c r="A14" s="7">
        <f>14-6</f>
        <v>8</v>
      </c>
      <c r="B14" s="94"/>
      <c r="C14" s="94" t="s">
        <v>127</v>
      </c>
      <c r="D14" s="94"/>
      <c r="E14" s="94"/>
      <c r="F14" s="14">
        <f t="shared" si="0"/>
        <v>2438.176</v>
      </c>
      <c r="G14" s="14">
        <f t="shared" si="1"/>
        <v>675.566</v>
      </c>
      <c r="H14" s="14">
        <f t="shared" ref="H14:L14" si="21">SUM(H15,H17,H21,H23,H25,H27,H29)</f>
        <v>632.8</v>
      </c>
      <c r="I14" s="14">
        <f t="shared" si="21"/>
        <v>42.766</v>
      </c>
      <c r="J14" s="14">
        <f t="shared" si="3"/>
        <v>1762.61</v>
      </c>
      <c r="K14" s="14">
        <f t="shared" si="21"/>
        <v>1762.61</v>
      </c>
      <c r="L14" s="14">
        <f t="shared" si="21"/>
        <v>0</v>
      </c>
      <c r="M14" s="14">
        <f t="shared" si="4"/>
        <v>2438.176</v>
      </c>
      <c r="N14" s="14">
        <f t="shared" si="5"/>
        <v>1551.456</v>
      </c>
      <c r="O14" s="14">
        <f t="shared" ref="O14:S14" si="22">SUM(O15,O17,O21,O23,O25,O27,O29)</f>
        <v>1551.456</v>
      </c>
      <c r="P14" s="14">
        <f t="shared" si="22"/>
        <v>0</v>
      </c>
      <c r="Q14" s="14">
        <f t="shared" si="22"/>
        <v>0</v>
      </c>
      <c r="R14" s="14">
        <f t="shared" si="22"/>
        <v>0</v>
      </c>
      <c r="S14" s="14">
        <f t="shared" si="22"/>
        <v>0</v>
      </c>
      <c r="T14" s="14">
        <f t="shared" si="7"/>
        <v>886.72</v>
      </c>
      <c r="U14" s="14">
        <f t="shared" ref="U14:Z14" si="23">SUM(U15,U17,U21,U23,U25,U27,U29)</f>
        <v>0</v>
      </c>
      <c r="V14" s="14">
        <f t="shared" si="23"/>
        <v>886.72</v>
      </c>
      <c r="W14" s="14">
        <f t="shared" si="23"/>
        <v>0</v>
      </c>
      <c r="X14" s="14">
        <f t="shared" si="23"/>
        <v>0</v>
      </c>
      <c r="Y14" s="14">
        <f t="shared" si="23"/>
        <v>0</v>
      </c>
      <c r="Z14" s="14">
        <f t="shared" si="23"/>
        <v>0</v>
      </c>
    </row>
    <row r="15" s="58" customFormat="1" ht="23.25" customHeight="1" spans="1:26">
      <c r="A15" s="7">
        <f>15-6</f>
        <v>9</v>
      </c>
      <c r="B15" s="94"/>
      <c r="C15" s="94"/>
      <c r="D15" s="94" t="s">
        <v>128</v>
      </c>
      <c r="E15" s="94"/>
      <c r="F15" s="14">
        <f t="shared" si="0"/>
        <v>215.79</v>
      </c>
      <c r="G15" s="14">
        <f t="shared" si="1"/>
        <v>0</v>
      </c>
      <c r="H15" s="14">
        <f t="shared" ref="H15:L15" si="24">SUM(H16)</f>
        <v>0</v>
      </c>
      <c r="I15" s="14">
        <f t="shared" si="24"/>
        <v>0</v>
      </c>
      <c r="J15" s="14">
        <f t="shared" si="3"/>
        <v>215.79</v>
      </c>
      <c r="K15" s="14">
        <f t="shared" si="24"/>
        <v>215.79</v>
      </c>
      <c r="L15" s="14">
        <f t="shared" si="24"/>
        <v>0</v>
      </c>
      <c r="M15" s="14">
        <f t="shared" si="4"/>
        <v>215.79</v>
      </c>
      <c r="N15" s="14">
        <f t="shared" si="5"/>
        <v>215.79</v>
      </c>
      <c r="O15" s="14">
        <f t="shared" ref="O15:S15" si="25">SUM(O16)</f>
        <v>215.79</v>
      </c>
      <c r="P15" s="14">
        <f t="shared" si="25"/>
        <v>0</v>
      </c>
      <c r="Q15" s="14">
        <f t="shared" si="25"/>
        <v>0</v>
      </c>
      <c r="R15" s="14">
        <f t="shared" si="25"/>
        <v>0</v>
      </c>
      <c r="S15" s="14">
        <f t="shared" si="25"/>
        <v>0</v>
      </c>
      <c r="T15" s="14">
        <f t="shared" si="7"/>
        <v>0</v>
      </c>
      <c r="U15" s="14">
        <f t="shared" ref="U15:Z15" si="26">SUM(U16)</f>
        <v>0</v>
      </c>
      <c r="V15" s="14">
        <f t="shared" si="26"/>
        <v>0</v>
      </c>
      <c r="W15" s="14">
        <f t="shared" si="26"/>
        <v>0</v>
      </c>
      <c r="X15" s="14">
        <f t="shared" si="26"/>
        <v>0</v>
      </c>
      <c r="Y15" s="14">
        <f t="shared" si="26"/>
        <v>0</v>
      </c>
      <c r="Z15" s="14">
        <f t="shared" si="26"/>
        <v>0</v>
      </c>
    </row>
    <row r="16" s="58" customFormat="1" ht="23.25" customHeight="1" spans="1:26">
      <c r="A16" s="7">
        <f>16-6</f>
        <v>10</v>
      </c>
      <c r="B16" s="94"/>
      <c r="C16" s="94"/>
      <c r="D16" s="94"/>
      <c r="E16" s="94" t="s">
        <v>61</v>
      </c>
      <c r="F16" s="14">
        <f t="shared" si="0"/>
        <v>215.79</v>
      </c>
      <c r="G16" s="14">
        <f t="shared" si="1"/>
        <v>0</v>
      </c>
      <c r="H16" s="14">
        <v>0</v>
      </c>
      <c r="I16" s="14">
        <v>0</v>
      </c>
      <c r="J16" s="14">
        <f t="shared" si="3"/>
        <v>215.79</v>
      </c>
      <c r="K16" s="14">
        <v>215.79</v>
      </c>
      <c r="L16" s="14">
        <v>0</v>
      </c>
      <c r="M16" s="14">
        <f t="shared" si="4"/>
        <v>215.79</v>
      </c>
      <c r="N16" s="14">
        <f t="shared" si="5"/>
        <v>215.79</v>
      </c>
      <c r="O16" s="14">
        <v>215.79</v>
      </c>
      <c r="P16" s="14">
        <v>0</v>
      </c>
      <c r="Q16" s="14">
        <v>0</v>
      </c>
      <c r="R16" s="14">
        <v>0</v>
      </c>
      <c r="S16" s="14">
        <v>0</v>
      </c>
      <c r="T16" s="14">
        <f t="shared" si="7"/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</row>
    <row r="17" s="58" customFormat="1" ht="23.25" customHeight="1" spans="1:26">
      <c r="A17" s="7">
        <f>17-6</f>
        <v>11</v>
      </c>
      <c r="B17" s="94"/>
      <c r="C17" s="94"/>
      <c r="D17" s="94" t="s">
        <v>129</v>
      </c>
      <c r="E17" s="94"/>
      <c r="F17" s="14">
        <f t="shared" si="0"/>
        <v>675.566</v>
      </c>
      <c r="G17" s="14">
        <f t="shared" si="1"/>
        <v>675.566</v>
      </c>
      <c r="H17" s="14">
        <f t="shared" ref="H17:L17" si="27">SUM(H18:H20)</f>
        <v>632.8</v>
      </c>
      <c r="I17" s="14">
        <f t="shared" si="27"/>
        <v>42.766</v>
      </c>
      <c r="J17" s="14">
        <f t="shared" si="3"/>
        <v>0</v>
      </c>
      <c r="K17" s="14">
        <f t="shared" si="27"/>
        <v>0</v>
      </c>
      <c r="L17" s="14">
        <f t="shared" si="27"/>
        <v>0</v>
      </c>
      <c r="M17" s="14">
        <f t="shared" si="4"/>
        <v>675.566</v>
      </c>
      <c r="N17" s="14">
        <f t="shared" si="5"/>
        <v>675.566</v>
      </c>
      <c r="O17" s="14">
        <f t="shared" ref="O17:S17" si="28">SUM(O18:O20)</f>
        <v>675.566</v>
      </c>
      <c r="P17" s="14">
        <f t="shared" si="28"/>
        <v>0</v>
      </c>
      <c r="Q17" s="14">
        <f t="shared" si="28"/>
        <v>0</v>
      </c>
      <c r="R17" s="14">
        <f t="shared" si="28"/>
        <v>0</v>
      </c>
      <c r="S17" s="14">
        <f t="shared" si="28"/>
        <v>0</v>
      </c>
      <c r="T17" s="14">
        <f t="shared" si="7"/>
        <v>0</v>
      </c>
      <c r="U17" s="14">
        <f t="shared" ref="U17:Z17" si="29">SUM(U18:U20)</f>
        <v>0</v>
      </c>
      <c r="V17" s="14">
        <f t="shared" si="29"/>
        <v>0</v>
      </c>
      <c r="W17" s="14">
        <f t="shared" si="29"/>
        <v>0</v>
      </c>
      <c r="X17" s="14">
        <f t="shared" si="29"/>
        <v>0</v>
      </c>
      <c r="Y17" s="14">
        <f t="shared" si="29"/>
        <v>0</v>
      </c>
      <c r="Z17" s="14">
        <f t="shared" si="29"/>
        <v>0</v>
      </c>
    </row>
    <row r="18" s="58" customFormat="1" ht="23.25" customHeight="1" spans="1:26">
      <c r="A18" s="7">
        <f>18-6</f>
        <v>12</v>
      </c>
      <c r="B18" s="94"/>
      <c r="C18" s="94"/>
      <c r="D18" s="94"/>
      <c r="E18" s="94" t="s">
        <v>62</v>
      </c>
      <c r="F18" s="14">
        <f t="shared" si="0"/>
        <v>180.566</v>
      </c>
      <c r="G18" s="14">
        <f t="shared" si="1"/>
        <v>180.566</v>
      </c>
      <c r="H18" s="14">
        <v>137.8</v>
      </c>
      <c r="I18" s="14">
        <v>42.766</v>
      </c>
      <c r="J18" s="14">
        <f t="shared" si="3"/>
        <v>0</v>
      </c>
      <c r="K18" s="14">
        <v>0</v>
      </c>
      <c r="L18" s="14">
        <v>0</v>
      </c>
      <c r="M18" s="14">
        <f t="shared" si="4"/>
        <v>180.566</v>
      </c>
      <c r="N18" s="14">
        <f t="shared" si="5"/>
        <v>180.566</v>
      </c>
      <c r="O18" s="14">
        <v>180.566</v>
      </c>
      <c r="P18" s="14">
        <v>0</v>
      </c>
      <c r="Q18" s="14">
        <v>0</v>
      </c>
      <c r="R18" s="14">
        <v>0</v>
      </c>
      <c r="S18" s="14">
        <v>0</v>
      </c>
      <c r="T18" s="14">
        <f t="shared" si="7"/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</row>
    <row r="19" s="58" customFormat="1" ht="23.25" customHeight="1" spans="1:26">
      <c r="A19" s="7">
        <f>19-6</f>
        <v>13</v>
      </c>
      <c r="B19" s="94"/>
      <c r="C19" s="94"/>
      <c r="D19" s="94"/>
      <c r="E19" s="94" t="s">
        <v>63</v>
      </c>
      <c r="F19" s="14">
        <f t="shared" si="0"/>
        <v>330</v>
      </c>
      <c r="G19" s="14">
        <f t="shared" si="1"/>
        <v>330</v>
      </c>
      <c r="H19" s="14">
        <v>330</v>
      </c>
      <c r="I19" s="14">
        <v>0</v>
      </c>
      <c r="J19" s="14">
        <f t="shared" si="3"/>
        <v>0</v>
      </c>
      <c r="K19" s="14">
        <v>0</v>
      </c>
      <c r="L19" s="14">
        <v>0</v>
      </c>
      <c r="M19" s="14">
        <f t="shared" si="4"/>
        <v>330</v>
      </c>
      <c r="N19" s="14">
        <f t="shared" si="5"/>
        <v>330</v>
      </c>
      <c r="O19" s="14">
        <v>330</v>
      </c>
      <c r="P19" s="14">
        <v>0</v>
      </c>
      <c r="Q19" s="14">
        <v>0</v>
      </c>
      <c r="R19" s="14">
        <v>0</v>
      </c>
      <c r="S19" s="14">
        <v>0</v>
      </c>
      <c r="T19" s="14">
        <f t="shared" si="7"/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</row>
    <row r="20" s="58" customFormat="1" ht="23.25" customHeight="1" spans="1:26">
      <c r="A20" s="7">
        <f>20-6</f>
        <v>14</v>
      </c>
      <c r="B20" s="94"/>
      <c r="C20" s="94"/>
      <c r="D20" s="94"/>
      <c r="E20" s="94" t="s">
        <v>64</v>
      </c>
      <c r="F20" s="14">
        <f t="shared" si="0"/>
        <v>165</v>
      </c>
      <c r="G20" s="14">
        <f t="shared" si="1"/>
        <v>165</v>
      </c>
      <c r="H20" s="14">
        <v>165</v>
      </c>
      <c r="I20" s="14">
        <v>0</v>
      </c>
      <c r="J20" s="14">
        <f t="shared" si="3"/>
        <v>0</v>
      </c>
      <c r="K20" s="14">
        <v>0</v>
      </c>
      <c r="L20" s="14">
        <v>0</v>
      </c>
      <c r="M20" s="14">
        <f t="shared" si="4"/>
        <v>165</v>
      </c>
      <c r="N20" s="14">
        <f t="shared" si="5"/>
        <v>165</v>
      </c>
      <c r="O20" s="14">
        <v>165</v>
      </c>
      <c r="P20" s="14">
        <v>0</v>
      </c>
      <c r="Q20" s="14">
        <v>0</v>
      </c>
      <c r="R20" s="14">
        <v>0</v>
      </c>
      <c r="S20" s="14">
        <v>0</v>
      </c>
      <c r="T20" s="14">
        <f t="shared" si="7"/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</row>
    <row r="21" s="58" customFormat="1" ht="23.25" customHeight="1" spans="1:26">
      <c r="A21" s="7">
        <f>21-6</f>
        <v>15</v>
      </c>
      <c r="B21" s="94"/>
      <c r="C21" s="94"/>
      <c r="D21" s="94" t="s">
        <v>130</v>
      </c>
      <c r="E21" s="94"/>
      <c r="F21" s="14">
        <f t="shared" si="0"/>
        <v>773.65</v>
      </c>
      <c r="G21" s="14">
        <f t="shared" si="1"/>
        <v>0</v>
      </c>
      <c r="H21" s="14">
        <f t="shared" ref="H21:L21" si="30">SUM(H22)</f>
        <v>0</v>
      </c>
      <c r="I21" s="14">
        <f t="shared" si="30"/>
        <v>0</v>
      </c>
      <c r="J21" s="14">
        <f t="shared" si="3"/>
        <v>773.65</v>
      </c>
      <c r="K21" s="14">
        <f t="shared" si="30"/>
        <v>773.65</v>
      </c>
      <c r="L21" s="14">
        <f t="shared" si="30"/>
        <v>0</v>
      </c>
      <c r="M21" s="14">
        <f t="shared" si="4"/>
        <v>773.65</v>
      </c>
      <c r="N21" s="14">
        <f t="shared" si="5"/>
        <v>0</v>
      </c>
      <c r="O21" s="14">
        <f t="shared" ref="O21:S21" si="31">SUM(O22)</f>
        <v>0</v>
      </c>
      <c r="P21" s="14">
        <f t="shared" si="31"/>
        <v>0</v>
      </c>
      <c r="Q21" s="14">
        <f t="shared" si="31"/>
        <v>0</v>
      </c>
      <c r="R21" s="14">
        <f t="shared" si="31"/>
        <v>0</v>
      </c>
      <c r="S21" s="14">
        <f t="shared" si="31"/>
        <v>0</v>
      </c>
      <c r="T21" s="14">
        <f t="shared" si="7"/>
        <v>773.65</v>
      </c>
      <c r="U21" s="14">
        <f t="shared" ref="U21:Z21" si="32">SUM(U22)</f>
        <v>0</v>
      </c>
      <c r="V21" s="14">
        <f t="shared" si="32"/>
        <v>773.65</v>
      </c>
      <c r="W21" s="14">
        <f t="shared" si="32"/>
        <v>0</v>
      </c>
      <c r="X21" s="14">
        <f t="shared" si="32"/>
        <v>0</v>
      </c>
      <c r="Y21" s="14">
        <f t="shared" si="32"/>
        <v>0</v>
      </c>
      <c r="Z21" s="14">
        <f t="shared" si="32"/>
        <v>0</v>
      </c>
    </row>
    <row r="22" s="58" customFormat="1" ht="23.25" customHeight="1" spans="1:26">
      <c r="A22" s="7">
        <f>22-6</f>
        <v>16</v>
      </c>
      <c r="B22" s="94"/>
      <c r="C22" s="94"/>
      <c r="D22" s="94"/>
      <c r="E22" s="94" t="s">
        <v>131</v>
      </c>
      <c r="F22" s="14">
        <f t="shared" si="0"/>
        <v>773.65</v>
      </c>
      <c r="G22" s="14">
        <f t="shared" si="1"/>
        <v>0</v>
      </c>
      <c r="H22" s="14">
        <v>0</v>
      </c>
      <c r="I22" s="14">
        <v>0</v>
      </c>
      <c r="J22" s="14">
        <f t="shared" si="3"/>
        <v>773.65</v>
      </c>
      <c r="K22" s="14">
        <v>773.65</v>
      </c>
      <c r="L22" s="14">
        <v>0</v>
      </c>
      <c r="M22" s="14">
        <f t="shared" si="4"/>
        <v>773.65</v>
      </c>
      <c r="N22" s="14">
        <f t="shared" si="5"/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f t="shared" si="7"/>
        <v>773.65</v>
      </c>
      <c r="U22" s="14">
        <v>0</v>
      </c>
      <c r="V22" s="14">
        <v>773.65</v>
      </c>
      <c r="W22" s="14">
        <v>0</v>
      </c>
      <c r="X22" s="14">
        <v>0</v>
      </c>
      <c r="Y22" s="14">
        <v>0</v>
      </c>
      <c r="Z22" s="14">
        <v>0</v>
      </c>
    </row>
    <row r="23" s="58" customFormat="1" ht="23.25" customHeight="1" spans="1:26">
      <c r="A23" s="7">
        <f>23-6</f>
        <v>17</v>
      </c>
      <c r="B23" s="94"/>
      <c r="C23" s="94"/>
      <c r="D23" s="94" t="s">
        <v>132</v>
      </c>
      <c r="E23" s="94"/>
      <c r="F23" s="14">
        <f t="shared" si="0"/>
        <v>70</v>
      </c>
      <c r="G23" s="14">
        <f t="shared" si="1"/>
        <v>0</v>
      </c>
      <c r="H23" s="14">
        <f t="shared" ref="H23:L23" si="33">SUM(H24)</f>
        <v>0</v>
      </c>
      <c r="I23" s="14">
        <f t="shared" si="33"/>
        <v>0</v>
      </c>
      <c r="J23" s="14">
        <f t="shared" si="3"/>
        <v>70</v>
      </c>
      <c r="K23" s="14">
        <f t="shared" si="33"/>
        <v>70</v>
      </c>
      <c r="L23" s="14">
        <f t="shared" si="33"/>
        <v>0</v>
      </c>
      <c r="M23" s="14">
        <f t="shared" si="4"/>
        <v>70</v>
      </c>
      <c r="N23" s="14">
        <f t="shared" si="5"/>
        <v>70</v>
      </c>
      <c r="O23" s="14">
        <f t="shared" ref="O23:S23" si="34">SUM(O24)</f>
        <v>70</v>
      </c>
      <c r="P23" s="14">
        <f t="shared" si="34"/>
        <v>0</v>
      </c>
      <c r="Q23" s="14">
        <f t="shared" si="34"/>
        <v>0</v>
      </c>
      <c r="R23" s="14">
        <f t="shared" si="34"/>
        <v>0</v>
      </c>
      <c r="S23" s="14">
        <f t="shared" si="34"/>
        <v>0</v>
      </c>
      <c r="T23" s="14">
        <f t="shared" si="7"/>
        <v>0</v>
      </c>
      <c r="U23" s="14">
        <f t="shared" ref="U23:Z23" si="35">SUM(U24)</f>
        <v>0</v>
      </c>
      <c r="V23" s="14">
        <f t="shared" si="35"/>
        <v>0</v>
      </c>
      <c r="W23" s="14">
        <f t="shared" si="35"/>
        <v>0</v>
      </c>
      <c r="X23" s="14">
        <f t="shared" si="35"/>
        <v>0</v>
      </c>
      <c r="Y23" s="14">
        <f t="shared" si="35"/>
        <v>0</v>
      </c>
      <c r="Z23" s="14">
        <f t="shared" si="35"/>
        <v>0</v>
      </c>
    </row>
    <row r="24" s="58" customFormat="1" ht="23.25" customHeight="1" spans="1:26">
      <c r="A24" s="7">
        <f>24-6</f>
        <v>18</v>
      </c>
      <c r="B24" s="94"/>
      <c r="C24" s="94"/>
      <c r="D24" s="94"/>
      <c r="E24" s="94" t="s">
        <v>65</v>
      </c>
      <c r="F24" s="14">
        <f t="shared" si="0"/>
        <v>70</v>
      </c>
      <c r="G24" s="14">
        <f t="shared" si="1"/>
        <v>0</v>
      </c>
      <c r="H24" s="14">
        <v>0</v>
      </c>
      <c r="I24" s="14">
        <v>0</v>
      </c>
      <c r="J24" s="14">
        <f t="shared" si="3"/>
        <v>70</v>
      </c>
      <c r="K24" s="14">
        <v>70</v>
      </c>
      <c r="L24" s="14">
        <v>0</v>
      </c>
      <c r="M24" s="14">
        <f t="shared" si="4"/>
        <v>70</v>
      </c>
      <c r="N24" s="14">
        <f t="shared" si="5"/>
        <v>70</v>
      </c>
      <c r="O24" s="14">
        <v>70</v>
      </c>
      <c r="P24" s="14">
        <v>0</v>
      </c>
      <c r="Q24" s="14">
        <v>0</v>
      </c>
      <c r="R24" s="14">
        <v>0</v>
      </c>
      <c r="S24" s="14">
        <v>0</v>
      </c>
      <c r="T24" s="14">
        <f t="shared" si="7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</row>
    <row r="25" s="58" customFormat="1" ht="23.25" customHeight="1" spans="1:26">
      <c r="A25" s="7">
        <f>25-6</f>
        <v>19</v>
      </c>
      <c r="B25" s="94"/>
      <c r="C25" s="94"/>
      <c r="D25" s="94" t="s">
        <v>133</v>
      </c>
      <c r="E25" s="94"/>
      <c r="F25" s="14">
        <f t="shared" si="0"/>
        <v>440.1</v>
      </c>
      <c r="G25" s="14">
        <f t="shared" si="1"/>
        <v>0</v>
      </c>
      <c r="H25" s="14">
        <f t="shared" ref="H25:L25" si="36">SUM(H26)</f>
        <v>0</v>
      </c>
      <c r="I25" s="14">
        <f t="shared" si="36"/>
        <v>0</v>
      </c>
      <c r="J25" s="14">
        <f t="shared" si="3"/>
        <v>440.1</v>
      </c>
      <c r="K25" s="14">
        <f t="shared" si="36"/>
        <v>440.1</v>
      </c>
      <c r="L25" s="14">
        <f t="shared" si="36"/>
        <v>0</v>
      </c>
      <c r="M25" s="14">
        <f t="shared" si="4"/>
        <v>440.1</v>
      </c>
      <c r="N25" s="14">
        <f t="shared" si="5"/>
        <v>420.1</v>
      </c>
      <c r="O25" s="14">
        <f t="shared" ref="O25:S25" si="37">SUM(O26)</f>
        <v>420.1</v>
      </c>
      <c r="P25" s="14">
        <f t="shared" si="37"/>
        <v>0</v>
      </c>
      <c r="Q25" s="14">
        <f t="shared" si="37"/>
        <v>0</v>
      </c>
      <c r="R25" s="14">
        <f t="shared" si="37"/>
        <v>0</v>
      </c>
      <c r="S25" s="14">
        <f t="shared" si="37"/>
        <v>0</v>
      </c>
      <c r="T25" s="14">
        <f t="shared" si="7"/>
        <v>20</v>
      </c>
      <c r="U25" s="14">
        <f t="shared" ref="U25:Z25" si="38">SUM(U26)</f>
        <v>0</v>
      </c>
      <c r="V25" s="14">
        <f t="shared" si="38"/>
        <v>20</v>
      </c>
      <c r="W25" s="14">
        <f t="shared" si="38"/>
        <v>0</v>
      </c>
      <c r="X25" s="14">
        <f t="shared" si="38"/>
        <v>0</v>
      </c>
      <c r="Y25" s="14">
        <f t="shared" si="38"/>
        <v>0</v>
      </c>
      <c r="Z25" s="14">
        <f t="shared" si="38"/>
        <v>0</v>
      </c>
    </row>
    <row r="26" s="58" customFormat="1" ht="23.25" customHeight="1" spans="1:26">
      <c r="A26" s="7">
        <f>26-6</f>
        <v>20</v>
      </c>
      <c r="B26" s="94"/>
      <c r="C26" s="94"/>
      <c r="D26" s="94"/>
      <c r="E26" s="94" t="s">
        <v>66</v>
      </c>
      <c r="F26" s="14">
        <f t="shared" si="0"/>
        <v>440.1</v>
      </c>
      <c r="G26" s="14">
        <f t="shared" si="1"/>
        <v>0</v>
      </c>
      <c r="H26" s="14">
        <v>0</v>
      </c>
      <c r="I26" s="14">
        <v>0</v>
      </c>
      <c r="J26" s="14">
        <f t="shared" si="3"/>
        <v>440.1</v>
      </c>
      <c r="K26" s="14">
        <v>440.1</v>
      </c>
      <c r="L26" s="14">
        <v>0</v>
      </c>
      <c r="M26" s="14">
        <f t="shared" si="4"/>
        <v>440.1</v>
      </c>
      <c r="N26" s="14">
        <f t="shared" si="5"/>
        <v>420.1</v>
      </c>
      <c r="O26" s="14">
        <v>420.1</v>
      </c>
      <c r="P26" s="14">
        <v>0</v>
      </c>
      <c r="Q26" s="14">
        <v>0</v>
      </c>
      <c r="R26" s="14">
        <v>0</v>
      </c>
      <c r="S26" s="14">
        <v>0</v>
      </c>
      <c r="T26" s="14">
        <f t="shared" si="7"/>
        <v>20</v>
      </c>
      <c r="U26" s="14">
        <v>0</v>
      </c>
      <c r="V26" s="14">
        <v>20</v>
      </c>
      <c r="W26" s="14">
        <v>0</v>
      </c>
      <c r="X26" s="14">
        <v>0</v>
      </c>
      <c r="Y26" s="14">
        <v>0</v>
      </c>
      <c r="Z26" s="14">
        <v>0</v>
      </c>
    </row>
    <row r="27" s="58" customFormat="1" ht="23.25" customHeight="1" spans="1:26">
      <c r="A27" s="7">
        <f>27-6</f>
        <v>21</v>
      </c>
      <c r="B27" s="94"/>
      <c r="C27" s="94"/>
      <c r="D27" s="94" t="s">
        <v>134</v>
      </c>
      <c r="E27" s="94"/>
      <c r="F27" s="14">
        <f t="shared" si="0"/>
        <v>121.07</v>
      </c>
      <c r="G27" s="14">
        <f t="shared" si="1"/>
        <v>0</v>
      </c>
      <c r="H27" s="14">
        <f t="shared" ref="H27:L27" si="39">SUM(H28)</f>
        <v>0</v>
      </c>
      <c r="I27" s="14">
        <f t="shared" si="39"/>
        <v>0</v>
      </c>
      <c r="J27" s="14">
        <f t="shared" si="3"/>
        <v>121.07</v>
      </c>
      <c r="K27" s="14">
        <f t="shared" si="39"/>
        <v>121.07</v>
      </c>
      <c r="L27" s="14">
        <f t="shared" si="39"/>
        <v>0</v>
      </c>
      <c r="M27" s="14">
        <f t="shared" si="4"/>
        <v>121.07</v>
      </c>
      <c r="N27" s="14">
        <f t="shared" si="5"/>
        <v>28</v>
      </c>
      <c r="O27" s="14">
        <f t="shared" ref="O27:S27" si="40">SUM(O28)</f>
        <v>28</v>
      </c>
      <c r="P27" s="14">
        <f t="shared" si="40"/>
        <v>0</v>
      </c>
      <c r="Q27" s="14">
        <f t="shared" si="40"/>
        <v>0</v>
      </c>
      <c r="R27" s="14">
        <f t="shared" si="40"/>
        <v>0</v>
      </c>
      <c r="S27" s="14">
        <f t="shared" si="40"/>
        <v>0</v>
      </c>
      <c r="T27" s="14">
        <f t="shared" si="7"/>
        <v>93.07</v>
      </c>
      <c r="U27" s="14">
        <f t="shared" ref="U27:Z27" si="41">SUM(U28)</f>
        <v>0</v>
      </c>
      <c r="V27" s="14">
        <f t="shared" si="41"/>
        <v>93.07</v>
      </c>
      <c r="W27" s="14">
        <f t="shared" si="41"/>
        <v>0</v>
      </c>
      <c r="X27" s="14">
        <f t="shared" si="41"/>
        <v>0</v>
      </c>
      <c r="Y27" s="14">
        <f t="shared" si="41"/>
        <v>0</v>
      </c>
      <c r="Z27" s="14">
        <f t="shared" si="41"/>
        <v>0</v>
      </c>
    </row>
    <row r="28" s="58" customFormat="1" ht="23.25" customHeight="1" spans="1:26">
      <c r="A28" s="7">
        <f>28-6</f>
        <v>22</v>
      </c>
      <c r="B28" s="94"/>
      <c r="C28" s="94"/>
      <c r="D28" s="94"/>
      <c r="E28" s="94" t="s">
        <v>67</v>
      </c>
      <c r="F28" s="14">
        <f t="shared" si="0"/>
        <v>121.07</v>
      </c>
      <c r="G28" s="14">
        <f t="shared" si="1"/>
        <v>0</v>
      </c>
      <c r="H28" s="14">
        <v>0</v>
      </c>
      <c r="I28" s="14">
        <v>0</v>
      </c>
      <c r="J28" s="14">
        <f t="shared" si="3"/>
        <v>121.07</v>
      </c>
      <c r="K28" s="14">
        <v>121.07</v>
      </c>
      <c r="L28" s="14">
        <v>0</v>
      </c>
      <c r="M28" s="14">
        <f t="shared" si="4"/>
        <v>121.07</v>
      </c>
      <c r="N28" s="14">
        <f t="shared" si="5"/>
        <v>28</v>
      </c>
      <c r="O28" s="14">
        <v>28</v>
      </c>
      <c r="P28" s="14">
        <v>0</v>
      </c>
      <c r="Q28" s="14">
        <v>0</v>
      </c>
      <c r="R28" s="14">
        <v>0</v>
      </c>
      <c r="S28" s="14">
        <v>0</v>
      </c>
      <c r="T28" s="14">
        <f t="shared" si="7"/>
        <v>93.07</v>
      </c>
      <c r="U28" s="14">
        <v>0</v>
      </c>
      <c r="V28" s="14">
        <v>93.07</v>
      </c>
      <c r="W28" s="14">
        <v>0</v>
      </c>
      <c r="X28" s="14">
        <v>0</v>
      </c>
      <c r="Y28" s="14">
        <v>0</v>
      </c>
      <c r="Z28" s="14">
        <v>0</v>
      </c>
    </row>
    <row r="29" s="58" customFormat="1" ht="23.25" customHeight="1" spans="1:26">
      <c r="A29" s="7">
        <f>29-6</f>
        <v>23</v>
      </c>
      <c r="B29" s="94"/>
      <c r="C29" s="94"/>
      <c r="D29" s="94" t="s">
        <v>135</v>
      </c>
      <c r="E29" s="94"/>
      <c r="F29" s="14">
        <f t="shared" si="0"/>
        <v>142</v>
      </c>
      <c r="G29" s="14">
        <f t="shared" si="1"/>
        <v>0</v>
      </c>
      <c r="H29" s="14">
        <f t="shared" ref="H29:L29" si="42">SUM(H30)</f>
        <v>0</v>
      </c>
      <c r="I29" s="14">
        <f t="shared" si="42"/>
        <v>0</v>
      </c>
      <c r="J29" s="14">
        <f t="shared" si="3"/>
        <v>142</v>
      </c>
      <c r="K29" s="14">
        <f t="shared" si="42"/>
        <v>142</v>
      </c>
      <c r="L29" s="14">
        <f t="shared" si="42"/>
        <v>0</v>
      </c>
      <c r="M29" s="14">
        <f t="shared" si="4"/>
        <v>142</v>
      </c>
      <c r="N29" s="14">
        <f t="shared" si="5"/>
        <v>142</v>
      </c>
      <c r="O29" s="14">
        <f t="shared" ref="O29:S29" si="43">SUM(O30)</f>
        <v>142</v>
      </c>
      <c r="P29" s="14">
        <f t="shared" si="43"/>
        <v>0</v>
      </c>
      <c r="Q29" s="14">
        <f t="shared" si="43"/>
        <v>0</v>
      </c>
      <c r="R29" s="14">
        <f t="shared" si="43"/>
        <v>0</v>
      </c>
      <c r="S29" s="14">
        <f t="shared" si="43"/>
        <v>0</v>
      </c>
      <c r="T29" s="14">
        <f t="shared" si="7"/>
        <v>0</v>
      </c>
      <c r="U29" s="14">
        <f t="shared" ref="U29:Z29" si="44">SUM(U30)</f>
        <v>0</v>
      </c>
      <c r="V29" s="14">
        <f t="shared" si="44"/>
        <v>0</v>
      </c>
      <c r="W29" s="14">
        <f t="shared" si="44"/>
        <v>0</v>
      </c>
      <c r="X29" s="14">
        <f t="shared" si="44"/>
        <v>0</v>
      </c>
      <c r="Y29" s="14">
        <f t="shared" si="44"/>
        <v>0</v>
      </c>
      <c r="Z29" s="14">
        <f t="shared" si="44"/>
        <v>0</v>
      </c>
    </row>
    <row r="30" s="58" customFormat="1" ht="23.25" customHeight="1" spans="1:26">
      <c r="A30" s="7">
        <f>30-6</f>
        <v>24</v>
      </c>
      <c r="B30" s="94"/>
      <c r="C30" s="94"/>
      <c r="D30" s="94"/>
      <c r="E30" s="94" t="s">
        <v>68</v>
      </c>
      <c r="F30" s="14">
        <f t="shared" si="0"/>
        <v>142</v>
      </c>
      <c r="G30" s="14">
        <f t="shared" si="1"/>
        <v>0</v>
      </c>
      <c r="H30" s="14">
        <v>0</v>
      </c>
      <c r="I30" s="14">
        <v>0</v>
      </c>
      <c r="J30" s="14">
        <f t="shared" si="3"/>
        <v>142</v>
      </c>
      <c r="K30" s="14">
        <v>142</v>
      </c>
      <c r="L30" s="14">
        <v>0</v>
      </c>
      <c r="M30" s="14">
        <f t="shared" si="4"/>
        <v>142</v>
      </c>
      <c r="N30" s="14">
        <f t="shared" si="5"/>
        <v>142</v>
      </c>
      <c r="O30" s="14">
        <v>142</v>
      </c>
      <c r="P30" s="14">
        <v>0</v>
      </c>
      <c r="Q30" s="14">
        <v>0</v>
      </c>
      <c r="R30" s="14">
        <v>0</v>
      </c>
      <c r="S30" s="14">
        <v>0</v>
      </c>
      <c r="T30" s="14">
        <f t="shared" si="7"/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</row>
    <row r="31" s="58" customFormat="1" ht="23.25" customHeight="1" spans="1:26">
      <c r="A31" s="7">
        <f>31-6</f>
        <v>25</v>
      </c>
      <c r="B31" s="94"/>
      <c r="C31" s="94" t="s">
        <v>136</v>
      </c>
      <c r="D31" s="94"/>
      <c r="E31" s="94"/>
      <c r="F31" s="14">
        <f t="shared" si="0"/>
        <v>446.53</v>
      </c>
      <c r="G31" s="14">
        <f t="shared" si="1"/>
        <v>248</v>
      </c>
      <c r="H31" s="14">
        <f t="shared" ref="H31:L31" si="45">SUM(H32,H34,H36)</f>
        <v>248</v>
      </c>
      <c r="I31" s="14">
        <f t="shared" si="45"/>
        <v>0</v>
      </c>
      <c r="J31" s="14">
        <f t="shared" si="3"/>
        <v>198.53</v>
      </c>
      <c r="K31" s="14">
        <f t="shared" si="45"/>
        <v>198.53</v>
      </c>
      <c r="L31" s="14">
        <f t="shared" si="45"/>
        <v>0</v>
      </c>
      <c r="M31" s="14">
        <f t="shared" si="4"/>
        <v>446.53</v>
      </c>
      <c r="N31" s="14">
        <f t="shared" si="5"/>
        <v>446.53</v>
      </c>
      <c r="O31" s="14">
        <f t="shared" ref="O31:S31" si="46">SUM(O32,O34,O36)</f>
        <v>446.53</v>
      </c>
      <c r="P31" s="14">
        <f t="shared" si="46"/>
        <v>0</v>
      </c>
      <c r="Q31" s="14">
        <f t="shared" si="46"/>
        <v>0</v>
      </c>
      <c r="R31" s="14">
        <f t="shared" si="46"/>
        <v>0</v>
      </c>
      <c r="S31" s="14">
        <f t="shared" si="46"/>
        <v>0</v>
      </c>
      <c r="T31" s="14">
        <f t="shared" si="7"/>
        <v>0</v>
      </c>
      <c r="U31" s="14">
        <f t="shared" ref="U31:Z31" si="47">SUM(U32,U34,U36)</f>
        <v>0</v>
      </c>
      <c r="V31" s="14">
        <f t="shared" si="47"/>
        <v>0</v>
      </c>
      <c r="W31" s="14">
        <f t="shared" si="47"/>
        <v>0</v>
      </c>
      <c r="X31" s="14">
        <f t="shared" si="47"/>
        <v>0</v>
      </c>
      <c r="Y31" s="14">
        <f t="shared" si="47"/>
        <v>0</v>
      </c>
      <c r="Z31" s="14">
        <f t="shared" si="47"/>
        <v>0</v>
      </c>
    </row>
    <row r="32" s="58" customFormat="1" ht="23.25" customHeight="1" spans="1:26">
      <c r="A32" s="7">
        <f>32-6</f>
        <v>26</v>
      </c>
      <c r="B32" s="94"/>
      <c r="C32" s="94"/>
      <c r="D32" s="94" t="s">
        <v>137</v>
      </c>
      <c r="E32" s="94"/>
      <c r="F32" s="14">
        <f t="shared" si="0"/>
        <v>148</v>
      </c>
      <c r="G32" s="14">
        <f t="shared" si="1"/>
        <v>0</v>
      </c>
      <c r="H32" s="14">
        <f t="shared" ref="H32:L32" si="48">SUM(H33)</f>
        <v>0</v>
      </c>
      <c r="I32" s="14">
        <f t="shared" si="48"/>
        <v>0</v>
      </c>
      <c r="J32" s="14">
        <f t="shared" si="3"/>
        <v>148</v>
      </c>
      <c r="K32" s="14">
        <f t="shared" si="48"/>
        <v>148</v>
      </c>
      <c r="L32" s="14">
        <f t="shared" si="48"/>
        <v>0</v>
      </c>
      <c r="M32" s="14">
        <f t="shared" si="4"/>
        <v>148</v>
      </c>
      <c r="N32" s="14">
        <f t="shared" si="5"/>
        <v>148</v>
      </c>
      <c r="O32" s="14">
        <f t="shared" ref="O32:S32" si="49">SUM(O33)</f>
        <v>148</v>
      </c>
      <c r="P32" s="14">
        <f t="shared" si="49"/>
        <v>0</v>
      </c>
      <c r="Q32" s="14">
        <f t="shared" si="49"/>
        <v>0</v>
      </c>
      <c r="R32" s="14">
        <f t="shared" si="49"/>
        <v>0</v>
      </c>
      <c r="S32" s="14">
        <f t="shared" si="49"/>
        <v>0</v>
      </c>
      <c r="T32" s="14">
        <f t="shared" si="7"/>
        <v>0</v>
      </c>
      <c r="U32" s="14">
        <f t="shared" ref="U32:Z32" si="50">SUM(U33)</f>
        <v>0</v>
      </c>
      <c r="V32" s="14">
        <f t="shared" si="50"/>
        <v>0</v>
      </c>
      <c r="W32" s="14">
        <f t="shared" si="50"/>
        <v>0</v>
      </c>
      <c r="X32" s="14">
        <f t="shared" si="50"/>
        <v>0</v>
      </c>
      <c r="Y32" s="14">
        <f t="shared" si="50"/>
        <v>0</v>
      </c>
      <c r="Z32" s="14">
        <f t="shared" si="50"/>
        <v>0</v>
      </c>
    </row>
    <row r="33" s="58" customFormat="1" ht="23.25" customHeight="1" spans="1:26">
      <c r="A33" s="7">
        <f>33-6</f>
        <v>27</v>
      </c>
      <c r="B33" s="94"/>
      <c r="C33" s="94"/>
      <c r="D33" s="94"/>
      <c r="E33" s="94" t="s">
        <v>69</v>
      </c>
      <c r="F33" s="14">
        <f t="shared" si="0"/>
        <v>148</v>
      </c>
      <c r="G33" s="14">
        <f t="shared" si="1"/>
        <v>0</v>
      </c>
      <c r="H33" s="14">
        <v>0</v>
      </c>
      <c r="I33" s="14">
        <v>0</v>
      </c>
      <c r="J33" s="14">
        <f t="shared" si="3"/>
        <v>148</v>
      </c>
      <c r="K33" s="14">
        <v>148</v>
      </c>
      <c r="L33" s="14">
        <v>0</v>
      </c>
      <c r="M33" s="14">
        <f t="shared" si="4"/>
        <v>148</v>
      </c>
      <c r="N33" s="14">
        <f t="shared" si="5"/>
        <v>148</v>
      </c>
      <c r="O33" s="14">
        <v>148</v>
      </c>
      <c r="P33" s="14">
        <v>0</v>
      </c>
      <c r="Q33" s="14">
        <v>0</v>
      </c>
      <c r="R33" s="14">
        <v>0</v>
      </c>
      <c r="S33" s="14">
        <v>0</v>
      </c>
      <c r="T33" s="14">
        <f t="shared" si="7"/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</row>
    <row r="34" s="58" customFormat="1" ht="23.25" customHeight="1" spans="1:26">
      <c r="A34" s="7">
        <f>34-6</f>
        <v>28</v>
      </c>
      <c r="B34" s="94"/>
      <c r="C34" s="94"/>
      <c r="D34" s="94" t="s">
        <v>138</v>
      </c>
      <c r="E34" s="94"/>
      <c r="F34" s="14">
        <f t="shared" si="0"/>
        <v>50.53</v>
      </c>
      <c r="G34" s="14">
        <f t="shared" si="1"/>
        <v>0</v>
      </c>
      <c r="H34" s="14">
        <f t="shared" ref="H34:L34" si="51">SUM(H35)</f>
        <v>0</v>
      </c>
      <c r="I34" s="14">
        <f t="shared" si="51"/>
        <v>0</v>
      </c>
      <c r="J34" s="14">
        <f t="shared" si="3"/>
        <v>50.53</v>
      </c>
      <c r="K34" s="14">
        <f t="shared" si="51"/>
        <v>50.53</v>
      </c>
      <c r="L34" s="14">
        <f t="shared" si="51"/>
        <v>0</v>
      </c>
      <c r="M34" s="14">
        <f t="shared" si="4"/>
        <v>50.53</v>
      </c>
      <c r="N34" s="14">
        <f t="shared" si="5"/>
        <v>50.53</v>
      </c>
      <c r="O34" s="14">
        <f t="shared" ref="O34:S34" si="52">SUM(O35)</f>
        <v>50.53</v>
      </c>
      <c r="P34" s="14">
        <f t="shared" si="52"/>
        <v>0</v>
      </c>
      <c r="Q34" s="14">
        <f t="shared" si="52"/>
        <v>0</v>
      </c>
      <c r="R34" s="14">
        <f t="shared" si="52"/>
        <v>0</v>
      </c>
      <c r="S34" s="14">
        <f t="shared" si="52"/>
        <v>0</v>
      </c>
      <c r="T34" s="14">
        <f t="shared" si="7"/>
        <v>0</v>
      </c>
      <c r="U34" s="14">
        <f t="shared" ref="U34:Z34" si="53">SUM(U35)</f>
        <v>0</v>
      </c>
      <c r="V34" s="14">
        <f t="shared" si="53"/>
        <v>0</v>
      </c>
      <c r="W34" s="14">
        <f t="shared" si="53"/>
        <v>0</v>
      </c>
      <c r="X34" s="14">
        <f t="shared" si="53"/>
        <v>0</v>
      </c>
      <c r="Y34" s="14">
        <f t="shared" si="53"/>
        <v>0</v>
      </c>
      <c r="Z34" s="14">
        <f t="shared" si="53"/>
        <v>0</v>
      </c>
    </row>
    <row r="35" s="58" customFormat="1" ht="23.25" customHeight="1" spans="1:26">
      <c r="A35" s="7">
        <f>35-6</f>
        <v>29</v>
      </c>
      <c r="B35" s="94"/>
      <c r="C35" s="94"/>
      <c r="D35" s="94"/>
      <c r="E35" s="94" t="s">
        <v>70</v>
      </c>
      <c r="F35" s="14">
        <f t="shared" si="0"/>
        <v>50.53</v>
      </c>
      <c r="G35" s="14">
        <f t="shared" si="1"/>
        <v>0</v>
      </c>
      <c r="H35" s="14">
        <v>0</v>
      </c>
      <c r="I35" s="14">
        <v>0</v>
      </c>
      <c r="J35" s="14">
        <f t="shared" si="3"/>
        <v>50.53</v>
      </c>
      <c r="K35" s="14">
        <v>50.53</v>
      </c>
      <c r="L35" s="14">
        <v>0</v>
      </c>
      <c r="M35" s="14">
        <f t="shared" si="4"/>
        <v>50.53</v>
      </c>
      <c r="N35" s="14">
        <f t="shared" si="5"/>
        <v>50.53</v>
      </c>
      <c r="O35" s="14">
        <v>50.53</v>
      </c>
      <c r="P35" s="14">
        <v>0</v>
      </c>
      <c r="Q35" s="14">
        <v>0</v>
      </c>
      <c r="R35" s="14">
        <v>0</v>
      </c>
      <c r="S35" s="14">
        <v>0</v>
      </c>
      <c r="T35" s="14">
        <f t="shared" si="7"/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</row>
    <row r="36" s="58" customFormat="1" ht="23.25" customHeight="1" spans="1:26">
      <c r="A36" s="7">
        <f>36-6</f>
        <v>30</v>
      </c>
      <c r="B36" s="94"/>
      <c r="C36" s="94"/>
      <c r="D36" s="94" t="s">
        <v>139</v>
      </c>
      <c r="E36" s="94"/>
      <c r="F36" s="14">
        <f t="shared" si="0"/>
        <v>248</v>
      </c>
      <c r="G36" s="14">
        <f t="shared" si="1"/>
        <v>248</v>
      </c>
      <c r="H36" s="14">
        <f t="shared" ref="H36:L36" si="54">SUM(H37:H38)</f>
        <v>248</v>
      </c>
      <c r="I36" s="14">
        <f t="shared" si="54"/>
        <v>0</v>
      </c>
      <c r="J36" s="14">
        <f t="shared" si="3"/>
        <v>0</v>
      </c>
      <c r="K36" s="14">
        <f t="shared" si="54"/>
        <v>0</v>
      </c>
      <c r="L36" s="14">
        <f t="shared" si="54"/>
        <v>0</v>
      </c>
      <c r="M36" s="14">
        <f t="shared" si="4"/>
        <v>248</v>
      </c>
      <c r="N36" s="14">
        <f t="shared" si="5"/>
        <v>248</v>
      </c>
      <c r="O36" s="14">
        <f t="shared" ref="O36:S36" si="55">SUM(O37:O38)</f>
        <v>248</v>
      </c>
      <c r="P36" s="14">
        <f t="shared" si="55"/>
        <v>0</v>
      </c>
      <c r="Q36" s="14">
        <f t="shared" si="55"/>
        <v>0</v>
      </c>
      <c r="R36" s="14">
        <f t="shared" si="55"/>
        <v>0</v>
      </c>
      <c r="S36" s="14">
        <f t="shared" si="55"/>
        <v>0</v>
      </c>
      <c r="T36" s="14">
        <f t="shared" si="7"/>
        <v>0</v>
      </c>
      <c r="U36" s="14">
        <f t="shared" ref="U36:Z36" si="56">SUM(U37:U38)</f>
        <v>0</v>
      </c>
      <c r="V36" s="14">
        <f t="shared" si="56"/>
        <v>0</v>
      </c>
      <c r="W36" s="14">
        <f t="shared" si="56"/>
        <v>0</v>
      </c>
      <c r="X36" s="14">
        <f t="shared" si="56"/>
        <v>0</v>
      </c>
      <c r="Y36" s="14">
        <f t="shared" si="56"/>
        <v>0</v>
      </c>
      <c r="Z36" s="14">
        <f t="shared" si="56"/>
        <v>0</v>
      </c>
    </row>
    <row r="37" s="58" customFormat="1" ht="23.25" customHeight="1" spans="1:26">
      <c r="A37" s="7">
        <f>37-6</f>
        <v>31</v>
      </c>
      <c r="B37" s="94"/>
      <c r="C37" s="94"/>
      <c r="D37" s="94"/>
      <c r="E37" s="94" t="s">
        <v>71</v>
      </c>
      <c r="F37" s="14">
        <f t="shared" si="0"/>
        <v>205.5</v>
      </c>
      <c r="G37" s="14">
        <f t="shared" si="1"/>
        <v>205.5</v>
      </c>
      <c r="H37" s="14">
        <v>205.5</v>
      </c>
      <c r="I37" s="14">
        <v>0</v>
      </c>
      <c r="J37" s="14">
        <f t="shared" si="3"/>
        <v>0</v>
      </c>
      <c r="K37" s="14">
        <v>0</v>
      </c>
      <c r="L37" s="14">
        <v>0</v>
      </c>
      <c r="M37" s="14">
        <f t="shared" si="4"/>
        <v>205.5</v>
      </c>
      <c r="N37" s="14">
        <f t="shared" si="5"/>
        <v>205.5</v>
      </c>
      <c r="O37" s="14">
        <v>205.5</v>
      </c>
      <c r="P37" s="14">
        <v>0</v>
      </c>
      <c r="Q37" s="14">
        <v>0</v>
      </c>
      <c r="R37" s="14">
        <v>0</v>
      </c>
      <c r="S37" s="14">
        <v>0</v>
      </c>
      <c r="T37" s="14">
        <f t="shared" si="7"/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</row>
    <row r="38" s="58" customFormat="1" ht="23.25" customHeight="1" spans="1:26">
      <c r="A38" s="7">
        <f>38-6</f>
        <v>32</v>
      </c>
      <c r="B38" s="94"/>
      <c r="C38" s="94"/>
      <c r="D38" s="94"/>
      <c r="E38" s="94" t="s">
        <v>72</v>
      </c>
      <c r="F38" s="14">
        <f t="shared" si="0"/>
        <v>42.5</v>
      </c>
      <c r="G38" s="14">
        <f t="shared" si="1"/>
        <v>42.5</v>
      </c>
      <c r="H38" s="14">
        <v>42.5</v>
      </c>
      <c r="I38" s="14">
        <v>0</v>
      </c>
      <c r="J38" s="14">
        <f t="shared" si="3"/>
        <v>0</v>
      </c>
      <c r="K38" s="14">
        <v>0</v>
      </c>
      <c r="L38" s="14">
        <v>0</v>
      </c>
      <c r="M38" s="14">
        <f t="shared" si="4"/>
        <v>42.5</v>
      </c>
      <c r="N38" s="14">
        <f t="shared" si="5"/>
        <v>42.5</v>
      </c>
      <c r="O38" s="14">
        <v>42.5</v>
      </c>
      <c r="P38" s="14">
        <v>0</v>
      </c>
      <c r="Q38" s="14">
        <v>0</v>
      </c>
      <c r="R38" s="14">
        <v>0</v>
      </c>
      <c r="S38" s="14">
        <v>0</v>
      </c>
      <c r="T38" s="14">
        <f t="shared" si="7"/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</row>
    <row r="39" s="58" customFormat="1" ht="23.25" customHeight="1" spans="1:26">
      <c r="A39" s="7">
        <f>39-6</f>
        <v>33</v>
      </c>
      <c r="B39" s="94"/>
      <c r="C39" s="94" t="s">
        <v>140</v>
      </c>
      <c r="D39" s="94"/>
      <c r="E39" s="94"/>
      <c r="F39" s="14">
        <f t="shared" si="0"/>
        <v>20355.609998</v>
      </c>
      <c r="G39" s="14">
        <f t="shared" si="1"/>
        <v>4512.219998</v>
      </c>
      <c r="H39" s="14">
        <f t="shared" ref="H39:L39" si="57">SUM(H40)</f>
        <v>2763.635998</v>
      </c>
      <c r="I39" s="14">
        <f t="shared" si="57"/>
        <v>1748.584</v>
      </c>
      <c r="J39" s="14">
        <f t="shared" si="3"/>
        <v>15843.39</v>
      </c>
      <c r="K39" s="14">
        <f t="shared" si="57"/>
        <v>15843.39</v>
      </c>
      <c r="L39" s="14">
        <f t="shared" si="57"/>
        <v>0</v>
      </c>
      <c r="M39" s="14">
        <f t="shared" si="4"/>
        <v>20355.609998</v>
      </c>
      <c r="N39" s="14">
        <f t="shared" si="5"/>
        <v>20355.609998</v>
      </c>
      <c r="O39" s="14">
        <f t="shared" ref="O39:S39" si="58">SUM(O40)</f>
        <v>20355.609998</v>
      </c>
      <c r="P39" s="14">
        <f t="shared" si="58"/>
        <v>0</v>
      </c>
      <c r="Q39" s="14">
        <f t="shared" si="58"/>
        <v>0</v>
      </c>
      <c r="R39" s="14">
        <f t="shared" si="58"/>
        <v>0</v>
      </c>
      <c r="S39" s="14">
        <f t="shared" si="58"/>
        <v>0</v>
      </c>
      <c r="T39" s="14">
        <f t="shared" si="7"/>
        <v>0</v>
      </c>
      <c r="U39" s="14">
        <f t="shared" ref="U39:Z39" si="59">SUM(U40)</f>
        <v>0</v>
      </c>
      <c r="V39" s="14">
        <f t="shared" si="59"/>
        <v>0</v>
      </c>
      <c r="W39" s="14">
        <f t="shared" si="59"/>
        <v>0</v>
      </c>
      <c r="X39" s="14">
        <f t="shared" si="59"/>
        <v>0</v>
      </c>
      <c r="Y39" s="14">
        <f t="shared" si="59"/>
        <v>0</v>
      </c>
      <c r="Z39" s="14">
        <f t="shared" si="59"/>
        <v>0</v>
      </c>
    </row>
    <row r="40" s="58" customFormat="1" ht="23.25" customHeight="1" spans="1:26">
      <c r="A40" s="7">
        <f>40-6</f>
        <v>34</v>
      </c>
      <c r="B40" s="94"/>
      <c r="C40" s="94"/>
      <c r="D40" s="94" t="s">
        <v>141</v>
      </c>
      <c r="E40" s="94"/>
      <c r="F40" s="14">
        <f t="shared" si="0"/>
        <v>20355.609998</v>
      </c>
      <c r="G40" s="14">
        <f t="shared" si="1"/>
        <v>4512.219998</v>
      </c>
      <c r="H40" s="14">
        <f t="shared" ref="H40:L40" si="60">SUM(H41:H43)</f>
        <v>2763.635998</v>
      </c>
      <c r="I40" s="14">
        <f t="shared" si="60"/>
        <v>1748.584</v>
      </c>
      <c r="J40" s="14">
        <f t="shared" si="3"/>
        <v>15843.39</v>
      </c>
      <c r="K40" s="14">
        <f t="shared" si="60"/>
        <v>15843.39</v>
      </c>
      <c r="L40" s="14">
        <f t="shared" si="60"/>
        <v>0</v>
      </c>
      <c r="M40" s="14">
        <f t="shared" si="4"/>
        <v>20355.609998</v>
      </c>
      <c r="N40" s="14">
        <f t="shared" si="5"/>
        <v>20355.609998</v>
      </c>
      <c r="O40" s="14">
        <f t="shared" ref="O40:S40" si="61">SUM(O41:O43)</f>
        <v>20355.609998</v>
      </c>
      <c r="P40" s="14">
        <f t="shared" si="61"/>
        <v>0</v>
      </c>
      <c r="Q40" s="14">
        <f t="shared" si="61"/>
        <v>0</v>
      </c>
      <c r="R40" s="14">
        <f t="shared" si="61"/>
        <v>0</v>
      </c>
      <c r="S40" s="14">
        <f t="shared" si="61"/>
        <v>0</v>
      </c>
      <c r="T40" s="14">
        <f t="shared" si="7"/>
        <v>0</v>
      </c>
      <c r="U40" s="14">
        <f t="shared" ref="U40:Z40" si="62">SUM(U41:U43)</f>
        <v>0</v>
      </c>
      <c r="V40" s="14">
        <f t="shared" si="62"/>
        <v>0</v>
      </c>
      <c r="W40" s="14">
        <f t="shared" si="62"/>
        <v>0</v>
      </c>
      <c r="X40" s="14">
        <f t="shared" si="62"/>
        <v>0</v>
      </c>
      <c r="Y40" s="14">
        <f t="shared" si="62"/>
        <v>0</v>
      </c>
      <c r="Z40" s="14">
        <f t="shared" si="62"/>
        <v>0</v>
      </c>
    </row>
    <row r="41" s="58" customFormat="1" ht="23.25" customHeight="1" spans="1:26">
      <c r="A41" s="7">
        <f>41-6</f>
        <v>35</v>
      </c>
      <c r="B41" s="94"/>
      <c r="C41" s="94"/>
      <c r="D41" s="94"/>
      <c r="E41" s="94" t="s">
        <v>73</v>
      </c>
      <c r="F41" s="14">
        <f t="shared" si="0"/>
        <v>3524.062998</v>
      </c>
      <c r="G41" s="14">
        <f t="shared" si="1"/>
        <v>3524.062998</v>
      </c>
      <c r="H41" s="14">
        <v>1957.710998</v>
      </c>
      <c r="I41" s="14">
        <v>1566.352</v>
      </c>
      <c r="J41" s="14">
        <f t="shared" si="3"/>
        <v>0</v>
      </c>
      <c r="K41" s="14">
        <v>0</v>
      </c>
      <c r="L41" s="14">
        <v>0</v>
      </c>
      <c r="M41" s="14">
        <f t="shared" si="4"/>
        <v>3524.062998</v>
      </c>
      <c r="N41" s="14">
        <f t="shared" si="5"/>
        <v>3524.062998</v>
      </c>
      <c r="O41" s="14">
        <v>3524.062998</v>
      </c>
      <c r="P41" s="14">
        <v>0</v>
      </c>
      <c r="Q41" s="14">
        <v>0</v>
      </c>
      <c r="R41" s="14">
        <v>0</v>
      </c>
      <c r="S41" s="14">
        <v>0</v>
      </c>
      <c r="T41" s="14">
        <f t="shared" si="7"/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</row>
    <row r="42" s="58" customFormat="1" ht="23.25" customHeight="1" spans="1:26">
      <c r="A42" s="7">
        <f>42-6</f>
        <v>36</v>
      </c>
      <c r="B42" s="94"/>
      <c r="C42" s="94"/>
      <c r="D42" s="94"/>
      <c r="E42" s="94" t="s">
        <v>74</v>
      </c>
      <c r="F42" s="14">
        <f t="shared" si="0"/>
        <v>988.157</v>
      </c>
      <c r="G42" s="14">
        <f t="shared" si="1"/>
        <v>988.157</v>
      </c>
      <c r="H42" s="14">
        <v>805.925</v>
      </c>
      <c r="I42" s="14">
        <v>182.232</v>
      </c>
      <c r="J42" s="14">
        <f t="shared" si="3"/>
        <v>0</v>
      </c>
      <c r="K42" s="14">
        <v>0</v>
      </c>
      <c r="L42" s="14">
        <v>0</v>
      </c>
      <c r="M42" s="14">
        <f t="shared" si="4"/>
        <v>988.157</v>
      </c>
      <c r="N42" s="14">
        <f t="shared" si="5"/>
        <v>988.157</v>
      </c>
      <c r="O42" s="14">
        <v>988.157</v>
      </c>
      <c r="P42" s="14">
        <v>0</v>
      </c>
      <c r="Q42" s="14">
        <v>0</v>
      </c>
      <c r="R42" s="14">
        <v>0</v>
      </c>
      <c r="S42" s="14">
        <v>0</v>
      </c>
      <c r="T42" s="14">
        <f t="shared" si="7"/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</row>
    <row r="43" s="58" customFormat="1" ht="23.25" customHeight="1" spans="1:26">
      <c r="A43" s="7">
        <f>43-6</f>
        <v>37</v>
      </c>
      <c r="B43" s="94"/>
      <c r="C43" s="94"/>
      <c r="D43" s="94"/>
      <c r="E43" s="94" t="s">
        <v>75</v>
      </c>
      <c r="F43" s="14">
        <f t="shared" si="0"/>
        <v>15843.39</v>
      </c>
      <c r="G43" s="14">
        <f t="shared" si="1"/>
        <v>0</v>
      </c>
      <c r="H43" s="14">
        <v>0</v>
      </c>
      <c r="I43" s="14">
        <v>0</v>
      </c>
      <c r="J43" s="14">
        <f t="shared" si="3"/>
        <v>15843.39</v>
      </c>
      <c r="K43" s="14">
        <v>15843.39</v>
      </c>
      <c r="L43" s="14">
        <v>0</v>
      </c>
      <c r="M43" s="14">
        <f t="shared" si="4"/>
        <v>15843.39</v>
      </c>
      <c r="N43" s="14">
        <f t="shared" si="5"/>
        <v>15843.39</v>
      </c>
      <c r="O43" s="14">
        <v>15843.39</v>
      </c>
      <c r="P43" s="14">
        <v>0</v>
      </c>
      <c r="Q43" s="14">
        <v>0</v>
      </c>
      <c r="R43" s="14">
        <v>0</v>
      </c>
      <c r="S43" s="14">
        <v>0</v>
      </c>
      <c r="T43" s="14">
        <f t="shared" si="7"/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</row>
    <row r="44" s="58" customFormat="1" ht="23.25" customHeight="1" spans="1:26">
      <c r="A44" s="7">
        <f>44-6</f>
        <v>38</v>
      </c>
      <c r="B44" s="94"/>
      <c r="C44" s="94" t="s">
        <v>142</v>
      </c>
      <c r="D44" s="94"/>
      <c r="E44" s="94"/>
      <c r="F44" s="14">
        <f t="shared" si="0"/>
        <v>253</v>
      </c>
      <c r="G44" s="14">
        <f t="shared" si="1"/>
        <v>0</v>
      </c>
      <c r="H44" s="14">
        <f t="shared" ref="H44:L44" si="63">SUM(H45)</f>
        <v>0</v>
      </c>
      <c r="I44" s="14">
        <f t="shared" si="63"/>
        <v>0</v>
      </c>
      <c r="J44" s="14">
        <f t="shared" si="3"/>
        <v>253</v>
      </c>
      <c r="K44" s="14">
        <f t="shared" si="63"/>
        <v>253</v>
      </c>
      <c r="L44" s="14">
        <f t="shared" si="63"/>
        <v>0</v>
      </c>
      <c r="M44" s="14">
        <f t="shared" si="4"/>
        <v>253</v>
      </c>
      <c r="N44" s="14">
        <f t="shared" si="5"/>
        <v>253</v>
      </c>
      <c r="O44" s="14">
        <f t="shared" ref="O44:S44" si="64">SUM(O45)</f>
        <v>253</v>
      </c>
      <c r="P44" s="14">
        <f t="shared" si="64"/>
        <v>0</v>
      </c>
      <c r="Q44" s="14">
        <f t="shared" si="64"/>
        <v>0</v>
      </c>
      <c r="R44" s="14">
        <f t="shared" si="64"/>
        <v>0</v>
      </c>
      <c r="S44" s="14">
        <f t="shared" si="64"/>
        <v>0</v>
      </c>
      <c r="T44" s="14">
        <f t="shared" si="7"/>
        <v>0</v>
      </c>
      <c r="U44" s="14">
        <f t="shared" ref="U44:Z44" si="65">SUM(U45)</f>
        <v>0</v>
      </c>
      <c r="V44" s="14">
        <f t="shared" si="65"/>
        <v>0</v>
      </c>
      <c r="W44" s="14">
        <f t="shared" si="65"/>
        <v>0</v>
      </c>
      <c r="X44" s="14">
        <f t="shared" si="65"/>
        <v>0</v>
      </c>
      <c r="Y44" s="14">
        <f t="shared" si="65"/>
        <v>0</v>
      </c>
      <c r="Z44" s="14">
        <f t="shared" si="65"/>
        <v>0</v>
      </c>
    </row>
    <row r="45" s="58" customFormat="1" ht="23.25" customHeight="1" spans="1:26">
      <c r="A45" s="7">
        <f>45-6</f>
        <v>39</v>
      </c>
      <c r="B45" s="94"/>
      <c r="C45" s="94"/>
      <c r="D45" s="94" t="s">
        <v>143</v>
      </c>
      <c r="E45" s="94"/>
      <c r="F45" s="14">
        <f t="shared" si="0"/>
        <v>253</v>
      </c>
      <c r="G45" s="14">
        <f t="shared" si="1"/>
        <v>0</v>
      </c>
      <c r="H45" s="14">
        <f t="shared" ref="H45:L45" si="66">SUM(H46)</f>
        <v>0</v>
      </c>
      <c r="I45" s="14">
        <f t="shared" si="66"/>
        <v>0</v>
      </c>
      <c r="J45" s="14">
        <f t="shared" si="3"/>
        <v>253</v>
      </c>
      <c r="K45" s="14">
        <f t="shared" si="66"/>
        <v>253</v>
      </c>
      <c r="L45" s="14">
        <f t="shared" si="66"/>
        <v>0</v>
      </c>
      <c r="M45" s="14">
        <f t="shared" si="4"/>
        <v>253</v>
      </c>
      <c r="N45" s="14">
        <f t="shared" si="5"/>
        <v>253</v>
      </c>
      <c r="O45" s="14">
        <f t="shared" ref="O45:S45" si="67">SUM(O46)</f>
        <v>253</v>
      </c>
      <c r="P45" s="14">
        <f t="shared" si="67"/>
        <v>0</v>
      </c>
      <c r="Q45" s="14">
        <f t="shared" si="67"/>
        <v>0</v>
      </c>
      <c r="R45" s="14">
        <f t="shared" si="67"/>
        <v>0</v>
      </c>
      <c r="S45" s="14">
        <f t="shared" si="67"/>
        <v>0</v>
      </c>
      <c r="T45" s="14">
        <f t="shared" si="7"/>
        <v>0</v>
      </c>
      <c r="U45" s="14">
        <f t="shared" ref="U45:Z45" si="68">SUM(U46)</f>
        <v>0</v>
      </c>
      <c r="V45" s="14">
        <f t="shared" si="68"/>
        <v>0</v>
      </c>
      <c r="W45" s="14">
        <f t="shared" si="68"/>
        <v>0</v>
      </c>
      <c r="X45" s="14">
        <f t="shared" si="68"/>
        <v>0</v>
      </c>
      <c r="Y45" s="14">
        <f t="shared" si="68"/>
        <v>0</v>
      </c>
      <c r="Z45" s="14">
        <f t="shared" si="68"/>
        <v>0</v>
      </c>
    </row>
    <row r="46" s="58" customFormat="1" ht="23.25" customHeight="1" spans="1:26">
      <c r="A46" s="7">
        <f>46-6</f>
        <v>40</v>
      </c>
      <c r="B46" s="94"/>
      <c r="C46" s="94"/>
      <c r="D46" s="94"/>
      <c r="E46" s="94" t="s">
        <v>76</v>
      </c>
      <c r="F46" s="14">
        <f t="shared" si="0"/>
        <v>253</v>
      </c>
      <c r="G46" s="14">
        <f t="shared" si="1"/>
        <v>0</v>
      </c>
      <c r="H46" s="14">
        <v>0</v>
      </c>
      <c r="I46" s="14">
        <v>0</v>
      </c>
      <c r="J46" s="14">
        <f t="shared" si="3"/>
        <v>253</v>
      </c>
      <c r="K46" s="14">
        <v>253</v>
      </c>
      <c r="L46" s="14">
        <v>0</v>
      </c>
      <c r="M46" s="14">
        <f t="shared" si="4"/>
        <v>253</v>
      </c>
      <c r="N46" s="14">
        <f t="shared" si="5"/>
        <v>253</v>
      </c>
      <c r="O46" s="14">
        <v>253</v>
      </c>
      <c r="P46" s="14">
        <v>0</v>
      </c>
      <c r="Q46" s="14">
        <v>0</v>
      </c>
      <c r="R46" s="14">
        <v>0</v>
      </c>
      <c r="S46" s="14">
        <v>0</v>
      </c>
      <c r="T46" s="14">
        <f t="shared" si="7"/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</row>
    <row r="47" s="58" customFormat="1" ht="23.25" customHeight="1" spans="1:26">
      <c r="A47" s="7">
        <f>47-6</f>
        <v>41</v>
      </c>
      <c r="B47" s="94"/>
      <c r="C47" s="94" t="s">
        <v>144</v>
      </c>
      <c r="D47" s="94"/>
      <c r="E47" s="94"/>
      <c r="F47" s="14">
        <f t="shared" si="0"/>
        <v>764.24</v>
      </c>
      <c r="G47" s="14">
        <f t="shared" si="1"/>
        <v>764.24</v>
      </c>
      <c r="H47" s="14">
        <f t="shared" ref="H47:L47" si="69">SUM(H48)</f>
        <v>764.24</v>
      </c>
      <c r="I47" s="14">
        <f t="shared" si="69"/>
        <v>0</v>
      </c>
      <c r="J47" s="14">
        <f t="shared" si="3"/>
        <v>0</v>
      </c>
      <c r="K47" s="14">
        <f t="shared" si="69"/>
        <v>0</v>
      </c>
      <c r="L47" s="14">
        <f t="shared" si="69"/>
        <v>0</v>
      </c>
      <c r="M47" s="14">
        <f t="shared" si="4"/>
        <v>764.24</v>
      </c>
      <c r="N47" s="14">
        <f t="shared" si="5"/>
        <v>764.24</v>
      </c>
      <c r="O47" s="14">
        <f t="shared" ref="O47:S47" si="70">SUM(O48)</f>
        <v>764.24</v>
      </c>
      <c r="P47" s="14">
        <f t="shared" si="70"/>
        <v>0</v>
      </c>
      <c r="Q47" s="14">
        <f t="shared" si="70"/>
        <v>0</v>
      </c>
      <c r="R47" s="14">
        <f t="shared" si="70"/>
        <v>0</v>
      </c>
      <c r="S47" s="14">
        <f t="shared" si="70"/>
        <v>0</v>
      </c>
      <c r="T47" s="14">
        <f t="shared" si="7"/>
        <v>0</v>
      </c>
      <c r="U47" s="14">
        <f t="shared" ref="U47:Z47" si="71">SUM(U48)</f>
        <v>0</v>
      </c>
      <c r="V47" s="14">
        <f t="shared" si="71"/>
        <v>0</v>
      </c>
      <c r="W47" s="14">
        <f t="shared" si="71"/>
        <v>0</v>
      </c>
      <c r="X47" s="14">
        <f t="shared" si="71"/>
        <v>0</v>
      </c>
      <c r="Y47" s="14">
        <f t="shared" si="71"/>
        <v>0</v>
      </c>
      <c r="Z47" s="14">
        <f t="shared" si="71"/>
        <v>0</v>
      </c>
    </row>
    <row r="48" s="58" customFormat="1" ht="23.25" customHeight="1" spans="1:26">
      <c r="A48" s="7">
        <f>48-6</f>
        <v>42</v>
      </c>
      <c r="B48" s="94"/>
      <c r="C48" s="94"/>
      <c r="D48" s="94" t="s">
        <v>145</v>
      </c>
      <c r="E48" s="94"/>
      <c r="F48" s="14">
        <f t="shared" si="0"/>
        <v>764.24</v>
      </c>
      <c r="G48" s="14">
        <f t="shared" si="1"/>
        <v>764.24</v>
      </c>
      <c r="H48" s="14">
        <f t="shared" ref="H48:L48" si="72">SUM(H49:H50)</f>
        <v>764.24</v>
      </c>
      <c r="I48" s="14">
        <f t="shared" si="72"/>
        <v>0</v>
      </c>
      <c r="J48" s="14">
        <f t="shared" si="3"/>
        <v>0</v>
      </c>
      <c r="K48" s="14">
        <f t="shared" si="72"/>
        <v>0</v>
      </c>
      <c r="L48" s="14">
        <f t="shared" si="72"/>
        <v>0</v>
      </c>
      <c r="M48" s="14">
        <f t="shared" si="4"/>
        <v>764.24</v>
      </c>
      <c r="N48" s="14">
        <f t="shared" si="5"/>
        <v>764.24</v>
      </c>
      <c r="O48" s="14">
        <f t="shared" ref="O48:S48" si="73">SUM(O49:O50)</f>
        <v>764.24</v>
      </c>
      <c r="P48" s="14">
        <f t="shared" si="73"/>
        <v>0</v>
      </c>
      <c r="Q48" s="14">
        <f t="shared" si="73"/>
        <v>0</v>
      </c>
      <c r="R48" s="14">
        <f t="shared" si="73"/>
        <v>0</v>
      </c>
      <c r="S48" s="14">
        <f t="shared" si="73"/>
        <v>0</v>
      </c>
      <c r="T48" s="14">
        <f t="shared" si="7"/>
        <v>0</v>
      </c>
      <c r="U48" s="14">
        <f t="shared" ref="U48:Z48" si="74">SUM(U49:U50)</f>
        <v>0</v>
      </c>
      <c r="V48" s="14">
        <f t="shared" si="74"/>
        <v>0</v>
      </c>
      <c r="W48" s="14">
        <f t="shared" si="74"/>
        <v>0</v>
      </c>
      <c r="X48" s="14">
        <f t="shared" si="74"/>
        <v>0</v>
      </c>
      <c r="Y48" s="14">
        <f t="shared" si="74"/>
        <v>0</v>
      </c>
      <c r="Z48" s="14">
        <f t="shared" si="74"/>
        <v>0</v>
      </c>
    </row>
    <row r="49" s="58" customFormat="1" ht="23.25" customHeight="1" spans="1:26">
      <c r="A49" s="7">
        <f>49-6</f>
        <v>43</v>
      </c>
      <c r="B49" s="94"/>
      <c r="C49" s="94"/>
      <c r="D49" s="94"/>
      <c r="E49" s="94" t="s">
        <v>77</v>
      </c>
      <c r="F49" s="14">
        <f t="shared" si="0"/>
        <v>362</v>
      </c>
      <c r="G49" s="14">
        <f t="shared" si="1"/>
        <v>362</v>
      </c>
      <c r="H49" s="14">
        <v>362</v>
      </c>
      <c r="I49" s="14">
        <v>0</v>
      </c>
      <c r="J49" s="14">
        <f t="shared" si="3"/>
        <v>0</v>
      </c>
      <c r="K49" s="14">
        <v>0</v>
      </c>
      <c r="L49" s="14">
        <v>0</v>
      </c>
      <c r="M49" s="14">
        <f t="shared" si="4"/>
        <v>362</v>
      </c>
      <c r="N49" s="14">
        <f t="shared" si="5"/>
        <v>362</v>
      </c>
      <c r="O49" s="14">
        <v>362</v>
      </c>
      <c r="P49" s="14">
        <v>0</v>
      </c>
      <c r="Q49" s="14">
        <v>0</v>
      </c>
      <c r="R49" s="14">
        <v>0</v>
      </c>
      <c r="S49" s="14">
        <v>0</v>
      </c>
      <c r="T49" s="14">
        <f t="shared" si="7"/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</row>
    <row r="50" s="58" customFormat="1" ht="23.25" customHeight="1" spans="1:26">
      <c r="A50" s="7">
        <f>50-6</f>
        <v>44</v>
      </c>
      <c r="B50" s="94"/>
      <c r="C50" s="94"/>
      <c r="D50" s="94"/>
      <c r="E50" s="94" t="s">
        <v>78</v>
      </c>
      <c r="F50" s="14">
        <f t="shared" si="0"/>
        <v>402.24</v>
      </c>
      <c r="G50" s="14">
        <f t="shared" si="1"/>
        <v>402.24</v>
      </c>
      <c r="H50" s="14">
        <v>402.24</v>
      </c>
      <c r="I50" s="14">
        <v>0</v>
      </c>
      <c r="J50" s="14">
        <f t="shared" si="3"/>
        <v>0</v>
      </c>
      <c r="K50" s="14">
        <v>0</v>
      </c>
      <c r="L50" s="14">
        <v>0</v>
      </c>
      <c r="M50" s="14">
        <f t="shared" si="4"/>
        <v>402.24</v>
      </c>
      <c r="N50" s="14">
        <f t="shared" si="5"/>
        <v>402.24</v>
      </c>
      <c r="O50" s="14">
        <v>402.24</v>
      </c>
      <c r="P50" s="14">
        <v>0</v>
      </c>
      <c r="Q50" s="14">
        <v>0</v>
      </c>
      <c r="R50" s="14">
        <v>0</v>
      </c>
      <c r="S50" s="14">
        <v>0</v>
      </c>
      <c r="T50" s="14">
        <f t="shared" si="7"/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</row>
    <row r="51" s="58" customFormat="1" ht="23.25" customHeight="1" spans="1:26">
      <c r="A51" s="7">
        <f>51-6</f>
        <v>45</v>
      </c>
      <c r="B51" s="94"/>
      <c r="C51" s="94" t="s">
        <v>146</v>
      </c>
      <c r="D51" s="94"/>
      <c r="E51" s="94"/>
      <c r="F51" s="14">
        <f t="shared" si="0"/>
        <v>126.66</v>
      </c>
      <c r="G51" s="14">
        <f t="shared" si="1"/>
        <v>0</v>
      </c>
      <c r="H51" s="14">
        <f t="shared" ref="H51:L51" si="75">SUM(H52)</f>
        <v>0</v>
      </c>
      <c r="I51" s="14">
        <f t="shared" si="75"/>
        <v>0</v>
      </c>
      <c r="J51" s="14">
        <f t="shared" si="3"/>
        <v>126.66</v>
      </c>
      <c r="K51" s="14">
        <f t="shared" si="75"/>
        <v>126.66</v>
      </c>
      <c r="L51" s="14">
        <f t="shared" si="75"/>
        <v>0</v>
      </c>
      <c r="M51" s="14">
        <f t="shared" si="4"/>
        <v>126.66</v>
      </c>
      <c r="N51" s="14">
        <f t="shared" si="5"/>
        <v>126.66</v>
      </c>
      <c r="O51" s="14">
        <f t="shared" ref="O51:S51" si="76">SUM(O52)</f>
        <v>126.66</v>
      </c>
      <c r="P51" s="14">
        <f t="shared" si="76"/>
        <v>0</v>
      </c>
      <c r="Q51" s="14">
        <f t="shared" si="76"/>
        <v>0</v>
      </c>
      <c r="R51" s="14">
        <f t="shared" si="76"/>
        <v>0</v>
      </c>
      <c r="S51" s="14">
        <f t="shared" si="76"/>
        <v>0</v>
      </c>
      <c r="T51" s="14">
        <f t="shared" si="7"/>
        <v>0</v>
      </c>
      <c r="U51" s="14">
        <f t="shared" ref="U51:Z51" si="77">SUM(U52)</f>
        <v>0</v>
      </c>
      <c r="V51" s="14">
        <f t="shared" si="77"/>
        <v>0</v>
      </c>
      <c r="W51" s="14">
        <f t="shared" si="77"/>
        <v>0</v>
      </c>
      <c r="X51" s="14">
        <f t="shared" si="77"/>
        <v>0</v>
      </c>
      <c r="Y51" s="14">
        <f t="shared" si="77"/>
        <v>0</v>
      </c>
      <c r="Z51" s="14">
        <f t="shared" si="77"/>
        <v>0</v>
      </c>
    </row>
    <row r="52" s="58" customFormat="1" ht="23.25" customHeight="1" spans="1:26">
      <c r="A52" s="7">
        <f>52-6</f>
        <v>46</v>
      </c>
      <c r="B52" s="94"/>
      <c r="C52" s="94"/>
      <c r="D52" s="94" t="s">
        <v>147</v>
      </c>
      <c r="E52" s="94"/>
      <c r="F52" s="14">
        <f t="shared" si="0"/>
        <v>126.66</v>
      </c>
      <c r="G52" s="14">
        <f t="shared" si="1"/>
        <v>0</v>
      </c>
      <c r="H52" s="14">
        <f t="shared" ref="H52:L52" si="78">SUM(H53)</f>
        <v>0</v>
      </c>
      <c r="I52" s="14">
        <f t="shared" si="78"/>
        <v>0</v>
      </c>
      <c r="J52" s="14">
        <f t="shared" si="3"/>
        <v>126.66</v>
      </c>
      <c r="K52" s="14">
        <f t="shared" si="78"/>
        <v>126.66</v>
      </c>
      <c r="L52" s="14">
        <f t="shared" si="78"/>
        <v>0</v>
      </c>
      <c r="M52" s="14">
        <f t="shared" si="4"/>
        <v>126.66</v>
      </c>
      <c r="N52" s="14">
        <f t="shared" si="5"/>
        <v>126.66</v>
      </c>
      <c r="O52" s="14">
        <f t="shared" ref="O52:S52" si="79">SUM(O53)</f>
        <v>126.66</v>
      </c>
      <c r="P52" s="14">
        <f t="shared" si="79"/>
        <v>0</v>
      </c>
      <c r="Q52" s="14">
        <f t="shared" si="79"/>
        <v>0</v>
      </c>
      <c r="R52" s="14">
        <f t="shared" si="79"/>
        <v>0</v>
      </c>
      <c r="S52" s="14">
        <f t="shared" si="79"/>
        <v>0</v>
      </c>
      <c r="T52" s="14">
        <f t="shared" si="7"/>
        <v>0</v>
      </c>
      <c r="U52" s="14">
        <f t="shared" ref="U52:Z52" si="80">SUM(U53)</f>
        <v>0</v>
      </c>
      <c r="V52" s="14">
        <f t="shared" si="80"/>
        <v>0</v>
      </c>
      <c r="W52" s="14">
        <f t="shared" si="80"/>
        <v>0</v>
      </c>
      <c r="X52" s="14">
        <f t="shared" si="80"/>
        <v>0</v>
      </c>
      <c r="Y52" s="14">
        <f t="shared" si="80"/>
        <v>0</v>
      </c>
      <c r="Z52" s="14">
        <f t="shared" si="80"/>
        <v>0</v>
      </c>
    </row>
    <row r="53" s="58" customFormat="1" ht="23.25" customHeight="1" spans="1:26">
      <c r="A53" s="7">
        <f>53-6</f>
        <v>47</v>
      </c>
      <c r="B53" s="94"/>
      <c r="C53" s="94"/>
      <c r="D53" s="94"/>
      <c r="E53" s="94" t="s">
        <v>79</v>
      </c>
      <c r="F53" s="14">
        <f t="shared" si="0"/>
        <v>126.66</v>
      </c>
      <c r="G53" s="14">
        <f t="shared" si="1"/>
        <v>0</v>
      </c>
      <c r="H53" s="14">
        <v>0</v>
      </c>
      <c r="I53" s="14">
        <v>0</v>
      </c>
      <c r="J53" s="14">
        <f t="shared" si="3"/>
        <v>126.66</v>
      </c>
      <c r="K53" s="14">
        <v>126.66</v>
      </c>
      <c r="L53" s="14">
        <v>0</v>
      </c>
      <c r="M53" s="14">
        <f t="shared" si="4"/>
        <v>126.66</v>
      </c>
      <c r="N53" s="14">
        <f t="shared" si="5"/>
        <v>126.66</v>
      </c>
      <c r="O53" s="14">
        <v>126.66</v>
      </c>
      <c r="P53" s="14">
        <v>0</v>
      </c>
      <c r="Q53" s="14">
        <v>0</v>
      </c>
      <c r="R53" s="14">
        <v>0</v>
      </c>
      <c r="S53" s="14">
        <v>0</v>
      </c>
      <c r="T53" s="14">
        <f t="shared" si="7"/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</row>
    <row r="54" s="17" customFormat="1" ht="38.25" customHeight="1" spans="1:26">
      <c r="A54" s="116"/>
      <c r="B54" s="103"/>
      <c r="C54" s="103"/>
      <c r="D54" s="103"/>
      <c r="E54" s="103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="17" customFormat="1" ht="23.25" customHeight="1" spans="1:26">
      <c r="A55" s="116"/>
      <c r="B55" s="103"/>
      <c r="C55" s="103"/>
      <c r="D55" s="103"/>
      <c r="E55" s="103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="17" customFormat="1" ht="23.25" customHeight="1" spans="1:26">
      <c r="A56" s="116"/>
      <c r="B56" s="103"/>
      <c r="C56" s="103"/>
      <c r="D56" s="105"/>
      <c r="E56" s="103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="17" customFormat="1" ht="23.25" customHeight="1" spans="1:26">
      <c r="A57" s="116"/>
      <c r="B57" s="103"/>
      <c r="C57" s="103"/>
      <c r="D57" s="103"/>
      <c r="E57" s="103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="17" customFormat="1" ht="23.25" customHeight="1" spans="1:26">
      <c r="A58" s="116"/>
      <c r="B58" s="103"/>
      <c r="C58" s="103"/>
      <c r="D58" s="103"/>
      <c r="E58" s="103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="17" customFormat="1" ht="23.25" customHeight="1" spans="1:26">
      <c r="A59" s="116"/>
      <c r="B59" s="103"/>
      <c r="C59" s="103"/>
      <c r="D59" s="103"/>
      <c r="E59" s="103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="17" customFormat="1" ht="23.25" customHeight="1" spans="1:26">
      <c r="A60" s="116"/>
      <c r="B60" s="103"/>
      <c r="C60" s="103"/>
      <c r="D60" s="105"/>
      <c r="E60" s="103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="17" customFormat="1" ht="23.25" customHeight="1" spans="1:26">
      <c r="A61" s="116"/>
      <c r="B61" s="103"/>
      <c r="C61" s="103"/>
      <c r="D61" s="103"/>
      <c r="E61" s="103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="17" customFormat="1" ht="23.25" customHeight="1" spans="1:26">
      <c r="A62" s="116"/>
      <c r="B62" s="103"/>
      <c r="C62" s="103"/>
      <c r="D62" s="105"/>
      <c r="E62" s="103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="17" customFormat="1" ht="23.25" customHeight="1" spans="1:26">
      <c r="A63" s="116"/>
      <c r="B63" s="103"/>
      <c r="C63" s="103"/>
      <c r="D63" s="103"/>
      <c r="E63" s="103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="17" customFormat="1" ht="23.25" customHeight="1" spans="1:26">
      <c r="A64" s="116"/>
      <c r="B64" s="103"/>
      <c r="C64" s="103"/>
      <c r="D64" s="103"/>
      <c r="E64" s="103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="17" customFormat="1" ht="23.25" customHeight="1" spans="1:26">
      <c r="A65" s="116"/>
      <c r="B65" s="103"/>
      <c r="C65" s="103"/>
      <c r="D65" s="105"/>
      <c r="E65" s="103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="17" customFormat="1" ht="23.25" customHeight="1" spans="1:26">
      <c r="A66" s="116"/>
      <c r="B66" s="103"/>
      <c r="C66" s="103"/>
      <c r="D66" s="103"/>
      <c r="E66" s="103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="17" customFormat="1" ht="23.25" customHeight="1" spans="1:26">
      <c r="A67" s="116"/>
      <c r="B67" s="103"/>
      <c r="C67" s="103"/>
      <c r="D67" s="103"/>
      <c r="E67" s="103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="17" customFormat="1" ht="23.25" customHeight="1" spans="1:26">
      <c r="A68" s="116"/>
      <c r="B68" s="103"/>
      <c r="C68" s="103"/>
      <c r="D68" s="105"/>
      <c r="E68" s="103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="17" customFormat="1" ht="23.25" customHeight="1" spans="1:26">
      <c r="A69" s="116"/>
      <c r="B69" s="103"/>
      <c r="C69" s="103"/>
      <c r="D69" s="103"/>
      <c r="E69" s="103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="17" customFormat="1" ht="23.25" customHeight="1" spans="1:26">
      <c r="A70" s="116"/>
      <c r="B70" s="103"/>
      <c r="C70" s="103"/>
      <c r="D70" s="103"/>
      <c r="E70" s="103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="17" customFormat="1" ht="23.25" customHeight="1" spans="1:26">
      <c r="A71" s="116"/>
      <c r="B71" s="103"/>
      <c r="C71" s="103"/>
      <c r="D71" s="105"/>
      <c r="E71" s="103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="17" customFormat="1" ht="23.25" customHeight="1" spans="1:26">
      <c r="A72" s="116"/>
      <c r="B72" s="103"/>
      <c r="C72" s="103"/>
      <c r="D72" s="103"/>
      <c r="E72" s="103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="17" customFormat="1" ht="38.25" customHeight="1" spans="1:26">
      <c r="A73" s="116"/>
      <c r="B73" s="103"/>
      <c r="C73" s="103"/>
      <c r="D73" s="103"/>
      <c r="E73" s="103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</row>
    <row r="74" s="17" customFormat="1" ht="23.25" customHeight="1" spans="1:26">
      <c r="A74" s="116"/>
      <c r="B74" s="103"/>
      <c r="C74" s="103"/>
      <c r="D74" s="103"/>
      <c r="E74" s="103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</row>
    <row r="75" s="17" customFormat="1" ht="23.25" customHeight="1" spans="1:26">
      <c r="A75" s="116"/>
      <c r="B75" s="103"/>
      <c r="C75" s="103"/>
      <c r="D75" s="105"/>
      <c r="E75" s="103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</row>
    <row r="76" s="17" customFormat="1" ht="23.25" customHeight="1" spans="1:26">
      <c r="A76" s="116"/>
      <c r="B76" s="103"/>
      <c r="C76" s="103"/>
      <c r="D76" s="103"/>
      <c r="E76" s="103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</row>
    <row r="77" s="17" customFormat="1" ht="23.25" customHeight="1" spans="1:26">
      <c r="A77" s="116"/>
      <c r="B77" s="103"/>
      <c r="C77" s="103"/>
      <c r="D77" s="105"/>
      <c r="E77" s="103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</row>
    <row r="78" s="17" customFormat="1" ht="23.25" customHeight="1" spans="1:26">
      <c r="A78" s="116"/>
      <c r="B78" s="103"/>
      <c r="C78" s="103"/>
      <c r="D78" s="103"/>
      <c r="E78" s="103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</row>
    <row r="79" s="17" customFormat="1" ht="23.25" customHeight="1" spans="1:26">
      <c r="A79" s="116"/>
      <c r="B79" s="103"/>
      <c r="C79" s="103"/>
      <c r="D79" s="103"/>
      <c r="E79" s="103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</row>
    <row r="80" s="17" customFormat="1" ht="23.25" customHeight="1" spans="1:26">
      <c r="A80" s="116"/>
      <c r="B80" s="103"/>
      <c r="C80" s="103"/>
      <c r="D80" s="103"/>
      <c r="E80" s="103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</row>
    <row r="81" s="17" customFormat="1" ht="23.25" customHeight="1" spans="1:26">
      <c r="A81" s="116"/>
      <c r="B81" s="103"/>
      <c r="C81" s="103"/>
      <c r="D81" s="105"/>
      <c r="E81" s="103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</row>
    <row r="82" s="17" customFormat="1" ht="23.25" customHeight="1" spans="1:26">
      <c r="A82" s="116"/>
      <c r="B82" s="103"/>
      <c r="C82" s="103"/>
      <c r="D82" s="103"/>
      <c r="E82" s="103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</row>
    <row r="83" s="17" customFormat="1" ht="23.25" customHeight="1" spans="1:26">
      <c r="A83" s="116"/>
      <c r="B83" s="103"/>
      <c r="C83" s="103"/>
      <c r="D83" s="103"/>
      <c r="E83" s="103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</row>
    <row r="84" s="17" customFormat="1" ht="23.25" customHeight="1" spans="1:26">
      <c r="A84" s="116"/>
      <c r="B84" s="103"/>
      <c r="C84" s="103"/>
      <c r="D84" s="105"/>
      <c r="E84" s="103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="17" customFormat="1" ht="23.25" customHeight="1" spans="1:26">
      <c r="A85" s="116"/>
      <c r="B85" s="103"/>
      <c r="C85" s="103"/>
      <c r="D85" s="103"/>
      <c r="E85" s="103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</row>
    <row r="86" s="17" customFormat="1" ht="23.25" customHeight="1" spans="1:26">
      <c r="A86" s="116"/>
      <c r="B86" s="103"/>
      <c r="C86" s="103"/>
      <c r="D86" s="103"/>
      <c r="E86" s="103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</row>
    <row r="87" s="17" customFormat="1" ht="23.25" customHeight="1" spans="1:26">
      <c r="A87" s="116"/>
      <c r="B87" s="103"/>
      <c r="C87" s="103"/>
      <c r="D87" s="105"/>
      <c r="E87" s="103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</row>
    <row r="88" s="17" customFormat="1" ht="23.25" customHeight="1" spans="1:26">
      <c r="A88" s="116"/>
      <c r="B88" s="103"/>
      <c r="C88" s="103"/>
      <c r="D88" s="103"/>
      <c r="E88" s="103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</row>
    <row r="89" s="17" customFormat="1" ht="23.25" customHeight="1" spans="1:26">
      <c r="A89" s="116"/>
      <c r="B89" s="103"/>
      <c r="C89" s="103"/>
      <c r="D89" s="103"/>
      <c r="E89" s="103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</row>
    <row r="90" s="17" customFormat="1" ht="23.25" customHeight="1" spans="1:26">
      <c r="A90" s="116"/>
      <c r="B90" s="103"/>
      <c r="C90" s="103"/>
      <c r="D90" s="105"/>
      <c r="E90" s="103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</row>
    <row r="91" s="17" customFormat="1" ht="23.25" customHeight="1" spans="1:26">
      <c r="A91" s="116"/>
      <c r="B91" s="103"/>
      <c r="C91" s="103"/>
      <c r="D91" s="103"/>
      <c r="E91" s="103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</row>
    <row r="92" s="17" customFormat="1" ht="36.75" customHeight="1" spans="1:26">
      <c r="A92" s="116"/>
      <c r="B92" s="103"/>
      <c r="C92" s="103"/>
      <c r="D92" s="103"/>
      <c r="E92" s="103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</row>
    <row r="93" s="17" customFormat="1" ht="23.25" customHeight="1" spans="1:26">
      <c r="A93" s="116"/>
      <c r="B93" s="103"/>
      <c r="C93" s="103"/>
      <c r="D93" s="103"/>
      <c r="E93" s="103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</row>
    <row r="94" s="17" customFormat="1" ht="23.25" customHeight="1" spans="1:26">
      <c r="A94" s="116"/>
      <c r="B94" s="103"/>
      <c r="C94" s="103"/>
      <c r="D94" s="105"/>
      <c r="E94" s="103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</row>
    <row r="95" s="17" customFormat="1" ht="23.25" customHeight="1" spans="1:26">
      <c r="A95" s="116"/>
      <c r="B95" s="103"/>
      <c r="C95" s="103"/>
      <c r="D95" s="103"/>
      <c r="E95" s="103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</row>
    <row r="96" s="17" customFormat="1" ht="23.25" customHeight="1" spans="1:26">
      <c r="A96" s="116"/>
      <c r="B96" s="103"/>
      <c r="C96" s="103"/>
      <c r="D96" s="103"/>
      <c r="E96" s="103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</row>
    <row r="97" s="17" customFormat="1" ht="23.25" customHeight="1" spans="1:26">
      <c r="A97" s="116"/>
      <c r="B97" s="103"/>
      <c r="C97" s="103"/>
      <c r="D97" s="103"/>
      <c r="E97" s="103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</row>
    <row r="98" s="17" customFormat="1" ht="23.25" customHeight="1" spans="1:26">
      <c r="A98" s="116"/>
      <c r="B98" s="103"/>
      <c r="C98" s="103"/>
      <c r="D98" s="105"/>
      <c r="E98" s="103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</row>
    <row r="99" s="17" customFormat="1" ht="23.25" customHeight="1" spans="1:26">
      <c r="A99" s="116"/>
      <c r="B99" s="103"/>
      <c r="C99" s="103"/>
      <c r="D99" s="103"/>
      <c r="E99" s="103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</row>
    <row r="100" s="17" customFormat="1" ht="23.25" customHeight="1" spans="1:26">
      <c r="A100" s="116"/>
      <c r="B100" s="103"/>
      <c r="C100" s="103"/>
      <c r="D100" s="103"/>
      <c r="E100" s="103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</row>
    <row r="101" s="17" customFormat="1" ht="23.25" customHeight="1" spans="1:26">
      <c r="A101" s="116"/>
      <c r="B101" s="103"/>
      <c r="C101" s="103"/>
      <c r="D101" s="105"/>
      <c r="E101" s="103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</row>
    <row r="102" s="17" customFormat="1" ht="23.25" customHeight="1" spans="1:26">
      <c r="A102" s="116"/>
      <c r="B102" s="103"/>
      <c r="C102" s="103"/>
      <c r="D102" s="103"/>
      <c r="E102" s="103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</row>
    <row r="103" s="17" customFormat="1" ht="23.25" customHeight="1" spans="1:26">
      <c r="A103" s="116"/>
      <c r="B103" s="103"/>
      <c r="C103" s="103"/>
      <c r="D103" s="103"/>
      <c r="E103" s="103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</row>
    <row r="104" s="17" customFormat="1" ht="23.25" customHeight="1" spans="1:26">
      <c r="A104" s="116"/>
      <c r="B104" s="103"/>
      <c r="C104" s="103"/>
      <c r="D104" s="105"/>
      <c r="E104" s="103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</row>
    <row r="105" s="17" customFormat="1" ht="23.25" customHeight="1" spans="1:26">
      <c r="A105" s="116"/>
      <c r="B105" s="103"/>
      <c r="C105" s="103"/>
      <c r="D105" s="103"/>
      <c r="E105" s="103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</row>
    <row r="106" s="17" customFormat="1" ht="23.25" customHeight="1" spans="1:26">
      <c r="A106" s="116"/>
      <c r="B106" s="103"/>
      <c r="C106" s="103"/>
      <c r="D106" s="103"/>
      <c r="E106" s="103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</row>
    <row r="107" s="17" customFormat="1" ht="23.25" customHeight="1" spans="1:26">
      <c r="A107" s="116"/>
      <c r="B107" s="103"/>
      <c r="C107" s="103"/>
      <c r="D107" s="105"/>
      <c r="E107" s="103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</row>
    <row r="108" s="17" customFormat="1" ht="23.25" customHeight="1" spans="1:26">
      <c r="A108" s="116"/>
      <c r="B108" s="103"/>
      <c r="C108" s="103"/>
      <c r="D108" s="103"/>
      <c r="E108" s="103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</row>
    <row r="109" s="17" customFormat="1" ht="36" customHeight="1" spans="1:26">
      <c r="A109" s="116"/>
      <c r="B109" s="103"/>
      <c r="C109" s="103"/>
      <c r="D109" s="103"/>
      <c r="E109" s="103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</row>
    <row r="110" s="17" customFormat="1" ht="23.25" customHeight="1" spans="1:26">
      <c r="A110" s="116"/>
      <c r="B110" s="103"/>
      <c r="C110" s="103"/>
      <c r="D110" s="103"/>
      <c r="E110" s="103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</row>
    <row r="111" s="17" customFormat="1" ht="23.25" customHeight="1" spans="1:26">
      <c r="A111" s="116"/>
      <c r="B111" s="103"/>
      <c r="C111" s="103"/>
      <c r="D111" s="105"/>
      <c r="E111" s="103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</row>
    <row r="112" s="17" customFormat="1" ht="23.25" customHeight="1" spans="1:26">
      <c r="A112" s="116"/>
      <c r="B112" s="103"/>
      <c r="C112" s="103"/>
      <c r="D112" s="103"/>
      <c r="E112" s="103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</row>
    <row r="113" s="17" customFormat="1" ht="23.25" customHeight="1" spans="1:26">
      <c r="A113" s="116"/>
      <c r="B113" s="103"/>
      <c r="C113" s="103"/>
      <c r="D113" s="103"/>
      <c r="E113" s="103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</row>
    <row r="114" s="17" customFormat="1" ht="23.25" customHeight="1" spans="1:26">
      <c r="A114" s="116"/>
      <c r="B114" s="103"/>
      <c r="C114" s="103"/>
      <c r="D114" s="103"/>
      <c r="E114" s="103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</row>
    <row r="115" s="17" customFormat="1" ht="23.25" customHeight="1" spans="1:26">
      <c r="A115" s="116"/>
      <c r="B115" s="103"/>
      <c r="C115" s="103"/>
      <c r="D115" s="105"/>
      <c r="E115" s="103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</row>
    <row r="116" s="17" customFormat="1" ht="23.25" customHeight="1" spans="1:26">
      <c r="A116" s="116"/>
      <c r="B116" s="103"/>
      <c r="C116" s="103"/>
      <c r="D116" s="103"/>
      <c r="E116" s="103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</row>
    <row r="117" s="17" customFormat="1" ht="23.25" customHeight="1" spans="1:26">
      <c r="A117" s="116"/>
      <c r="B117" s="103"/>
      <c r="C117" s="103"/>
      <c r="D117" s="103"/>
      <c r="E117" s="103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</row>
    <row r="118" s="17" customFormat="1" ht="23.25" customHeight="1" spans="1:26">
      <c r="A118" s="116"/>
      <c r="B118" s="103"/>
      <c r="C118" s="103"/>
      <c r="D118" s="105"/>
      <c r="E118" s="103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</row>
    <row r="119" s="17" customFormat="1" ht="23.25" customHeight="1" spans="1:26">
      <c r="A119" s="116"/>
      <c r="B119" s="103"/>
      <c r="C119" s="103"/>
      <c r="D119" s="103"/>
      <c r="E119" s="103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</row>
    <row r="120" s="17" customFormat="1" ht="23.25" customHeight="1" spans="1:26">
      <c r="A120" s="116"/>
      <c r="B120" s="103"/>
      <c r="C120" s="103"/>
      <c r="D120" s="103"/>
      <c r="E120" s="103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</row>
    <row r="121" s="17" customFormat="1" ht="23.25" customHeight="1" spans="1:26">
      <c r="A121" s="116"/>
      <c r="B121" s="103"/>
      <c r="C121" s="103"/>
      <c r="D121" s="105"/>
      <c r="E121" s="103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</row>
    <row r="122" s="17" customFormat="1" ht="23.25" customHeight="1" spans="1:26">
      <c r="A122" s="116"/>
      <c r="B122" s="103"/>
      <c r="C122" s="103"/>
      <c r="D122" s="103"/>
      <c r="E122" s="103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</row>
    <row r="123" s="17" customFormat="1" ht="23.25" customHeight="1" spans="1:26">
      <c r="A123" s="116"/>
      <c r="B123" s="103"/>
      <c r="C123" s="103"/>
      <c r="D123" s="103"/>
      <c r="E123" s="103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</row>
    <row r="124" s="17" customFormat="1" ht="23.25" customHeight="1" spans="1:26">
      <c r="A124" s="116"/>
      <c r="B124" s="103"/>
      <c r="C124" s="103"/>
      <c r="D124" s="105"/>
      <c r="E124" s="103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</row>
    <row r="125" s="17" customFormat="1" ht="23.25" customHeight="1" spans="1:26">
      <c r="A125" s="116"/>
      <c r="B125" s="103"/>
      <c r="C125" s="103"/>
      <c r="D125" s="103"/>
      <c r="E125" s="103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</row>
    <row r="126" s="17" customFormat="1"/>
    <row r="127" s="17" customFormat="1"/>
    <row r="128" s="17" customFormat="1"/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</sheetData>
  <mergeCells count="20">
    <mergeCell ref="A1:Z1"/>
    <mergeCell ref="A2:E2"/>
    <mergeCell ref="V2:Z2"/>
    <mergeCell ref="F3:L3"/>
    <mergeCell ref="M3:Z3"/>
    <mergeCell ref="G4:I4"/>
    <mergeCell ref="J4:L4"/>
    <mergeCell ref="N4:Q4"/>
    <mergeCell ref="T4:Y4"/>
    <mergeCell ref="A6:E6"/>
    <mergeCell ref="A3:A5"/>
    <mergeCell ref="B3:B5"/>
    <mergeCell ref="C3:C5"/>
    <mergeCell ref="D3:D5"/>
    <mergeCell ref="E3:E5"/>
    <mergeCell ref="F4:F5"/>
    <mergeCell ref="M4:M5"/>
    <mergeCell ref="R4:R5"/>
    <mergeCell ref="S4:S5"/>
    <mergeCell ref="Z4:Z5"/>
  </mergeCells>
  <printOptions horizontalCentered="1"/>
  <pageMargins left="0.118110236220472" right="0" top="0.15748031496063" bottom="0" header="0.31496062992126" footer="0.31496062992126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5"/>
  <sheetViews>
    <sheetView showRuler="0" workbookViewId="0">
      <selection activeCell="E11" sqref="E11"/>
    </sheetView>
  </sheetViews>
  <sheetFormatPr defaultColWidth="9" defaultRowHeight="15"/>
  <cols>
    <col min="1" max="1" width="6.28571428571429" customWidth="1"/>
    <col min="2" max="2" width="16.7142857142857" customWidth="1"/>
    <col min="3" max="3" width="10.7142857142857" customWidth="1"/>
    <col min="4" max="4" width="9.28571428571429" customWidth="1"/>
    <col min="5" max="5" width="23.4285714285714" customWidth="1"/>
    <col min="6" max="6" width="10.1428571428571" customWidth="1"/>
    <col min="7" max="7" width="10" customWidth="1"/>
    <col min="8" max="8" width="9.57142857142857" customWidth="1"/>
    <col min="9" max="9" width="9.42857142857143" customWidth="1"/>
    <col min="10" max="10" width="3.71428571428571" hidden="1" customWidth="1"/>
    <col min="11" max="11" width="4.28571428571429" hidden="1" customWidth="1"/>
    <col min="12" max="13" width="4.14285714285714" hidden="1" customWidth="1"/>
    <col min="14" max="14" width="5" customWidth="1"/>
    <col min="15" max="15" width="8.28571428571429" customWidth="1"/>
    <col min="16" max="17" width="5" hidden="1" customWidth="1"/>
    <col min="18" max="18" width="4.57142857142857" hidden="1" customWidth="1"/>
    <col min="19" max="19" width="4.28571428571429" hidden="1" customWidth="1"/>
    <col min="20" max="20" width="4.14285714285714" hidden="1" customWidth="1"/>
    <col min="21" max="21" width="11.1428571428571" customWidth="1"/>
    <col min="22" max="22" width="10.4285714285714" customWidth="1"/>
    <col min="23" max="23" width="10.1428571428571" customWidth="1"/>
    <col min="24" max="24" width="5.71428571428571" hidden="1" customWidth="1"/>
    <col min="25" max="25" width="5.42857142857143" hidden="1" customWidth="1"/>
    <col min="26" max="26" width="5" hidden="1" customWidth="1"/>
    <col min="27" max="27" width="5.57142857142857" hidden="1" customWidth="1"/>
    <col min="28" max="28" width="9.28571428571429" customWidth="1"/>
    <col min="29" max="29" width="5.14285714285714" hidden="1" customWidth="1"/>
    <col min="30" max="30" width="7.85714285714286" customWidth="1"/>
    <col min="31" max="31" width="5" hidden="1" customWidth="1"/>
    <col min="32" max="32" width="5.14285714285714" hidden="1" customWidth="1"/>
    <col min="33" max="34" width="7.28571428571429" customWidth="1"/>
  </cols>
  <sheetData>
    <row r="1" ht="30" customHeight="1" spans="1:34">
      <c r="A1" s="96" t="s">
        <v>148</v>
      </c>
      <c r="B1" s="96"/>
      <c r="C1" s="97"/>
      <c r="D1" s="97"/>
      <c r="E1" s="97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ht="20.25" customHeight="1" spans="1:34">
      <c r="A2" s="20" t="s">
        <v>5</v>
      </c>
      <c r="B2" s="20"/>
      <c r="C2" s="2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107"/>
      <c r="AA2" s="107"/>
      <c r="AB2" s="107"/>
      <c r="AC2" s="107"/>
      <c r="AD2" s="107"/>
      <c r="AE2" s="108" t="s">
        <v>7</v>
      </c>
      <c r="AF2" s="108"/>
      <c r="AG2" s="108"/>
      <c r="AH2" s="108"/>
    </row>
    <row r="3" ht="21" customHeight="1" spans="1:34">
      <c r="A3" s="25" t="s">
        <v>36</v>
      </c>
      <c r="B3" s="25" t="s">
        <v>37</v>
      </c>
      <c r="C3" s="27" t="s">
        <v>101</v>
      </c>
      <c r="D3" s="27" t="s">
        <v>102</v>
      </c>
      <c r="E3" s="27" t="s">
        <v>103</v>
      </c>
      <c r="F3" s="25" t="s">
        <v>149</v>
      </c>
      <c r="G3" s="25" t="s">
        <v>150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43</v>
      </c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21" customHeight="1" spans="1:34">
      <c r="A4" s="25"/>
      <c r="B4" s="25"/>
      <c r="C4" s="27"/>
      <c r="D4" s="27"/>
      <c r="E4" s="27"/>
      <c r="F4" s="25"/>
      <c r="G4" s="24" t="s">
        <v>40</v>
      </c>
      <c r="H4" s="98" t="s">
        <v>106</v>
      </c>
      <c r="I4" s="98"/>
      <c r="J4" s="98"/>
      <c r="K4" s="98"/>
      <c r="L4" s="26" t="s">
        <v>107</v>
      </c>
      <c r="M4" s="29" t="s">
        <v>108</v>
      </c>
      <c r="N4" s="26" t="s">
        <v>109</v>
      </c>
      <c r="O4" s="26"/>
      <c r="P4" s="26"/>
      <c r="Q4" s="26"/>
      <c r="R4" s="26"/>
      <c r="S4" s="26"/>
      <c r="T4" s="106" t="s">
        <v>110</v>
      </c>
      <c r="U4" s="24" t="s">
        <v>40</v>
      </c>
      <c r="V4" s="98" t="s">
        <v>106</v>
      </c>
      <c r="W4" s="98"/>
      <c r="X4" s="98"/>
      <c r="Y4" s="98"/>
      <c r="Z4" s="26" t="s">
        <v>107</v>
      </c>
      <c r="AA4" s="29" t="s">
        <v>108</v>
      </c>
      <c r="AB4" s="26" t="s">
        <v>109</v>
      </c>
      <c r="AC4" s="26"/>
      <c r="AD4" s="26"/>
      <c r="AE4" s="26"/>
      <c r="AF4" s="26"/>
      <c r="AG4" s="26"/>
      <c r="AH4" s="106" t="s">
        <v>110</v>
      </c>
    </row>
    <row r="5" ht="54.75" customHeight="1" spans="1:34">
      <c r="A5" s="25"/>
      <c r="B5" s="25"/>
      <c r="C5" s="27"/>
      <c r="D5" s="27"/>
      <c r="E5" s="27"/>
      <c r="F5" s="25"/>
      <c r="G5" s="24"/>
      <c r="H5" s="99" t="s">
        <v>44</v>
      </c>
      <c r="I5" s="25" t="s">
        <v>115</v>
      </c>
      <c r="J5" s="25" t="s">
        <v>116</v>
      </c>
      <c r="K5" s="25" t="s">
        <v>117</v>
      </c>
      <c r="L5" s="26"/>
      <c r="M5" s="29"/>
      <c r="N5" s="46" t="s">
        <v>44</v>
      </c>
      <c r="O5" s="26" t="s">
        <v>118</v>
      </c>
      <c r="P5" s="26" t="s">
        <v>119</v>
      </c>
      <c r="Q5" s="26" t="s">
        <v>120</v>
      </c>
      <c r="R5" s="26" t="s">
        <v>121</v>
      </c>
      <c r="S5" s="26" t="s">
        <v>122</v>
      </c>
      <c r="T5" s="106"/>
      <c r="U5" s="24"/>
      <c r="V5" s="99" t="s">
        <v>44</v>
      </c>
      <c r="W5" s="25" t="s">
        <v>115</v>
      </c>
      <c r="X5" s="25" t="s">
        <v>151</v>
      </c>
      <c r="Y5" s="25" t="s">
        <v>117</v>
      </c>
      <c r="Z5" s="26"/>
      <c r="AA5" s="29"/>
      <c r="AB5" s="46" t="s">
        <v>44</v>
      </c>
      <c r="AC5" s="26" t="s">
        <v>118</v>
      </c>
      <c r="AD5" s="26" t="s">
        <v>119</v>
      </c>
      <c r="AE5" s="26" t="s">
        <v>120</v>
      </c>
      <c r="AF5" s="26" t="s">
        <v>121</v>
      </c>
      <c r="AG5" s="26" t="s">
        <v>122</v>
      </c>
      <c r="AH5" s="106"/>
    </row>
    <row r="6" ht="18.75" customHeight="1" spans="1:34">
      <c r="A6" s="100" t="s">
        <v>40</v>
      </c>
      <c r="B6" s="100"/>
      <c r="C6" s="100"/>
      <c r="D6" s="100"/>
      <c r="E6" s="100"/>
      <c r="F6" s="101">
        <v>25084.215998</v>
      </c>
      <c r="G6" s="101">
        <v>6200.025998</v>
      </c>
      <c r="H6" s="101">
        <v>6200.025998</v>
      </c>
      <c r="I6" s="101">
        <v>6200.025998</v>
      </c>
      <c r="J6" s="101">
        <v>0</v>
      </c>
      <c r="K6" s="101">
        <v>0</v>
      </c>
      <c r="L6" s="101">
        <v>0</v>
      </c>
      <c r="M6" s="101">
        <v>0</v>
      </c>
      <c r="N6" s="101">
        <v>0</v>
      </c>
      <c r="O6" s="101">
        <v>0</v>
      </c>
      <c r="P6" s="101">
        <v>0</v>
      </c>
      <c r="Q6" s="101">
        <v>0</v>
      </c>
      <c r="R6" s="101">
        <v>0</v>
      </c>
      <c r="S6" s="101">
        <v>0</v>
      </c>
      <c r="T6" s="101">
        <v>0</v>
      </c>
      <c r="U6" s="101">
        <v>18884.19</v>
      </c>
      <c r="V6" s="101">
        <v>17997.47</v>
      </c>
      <c r="W6" s="101">
        <v>17997.47</v>
      </c>
      <c r="X6" s="101">
        <v>0</v>
      </c>
      <c r="Y6" s="101">
        <v>0</v>
      </c>
      <c r="Z6" s="101">
        <v>0</v>
      </c>
      <c r="AA6" s="101">
        <v>0</v>
      </c>
      <c r="AB6" s="101">
        <v>886.72</v>
      </c>
      <c r="AC6" s="101">
        <v>0</v>
      </c>
      <c r="AD6" s="101">
        <v>886.72</v>
      </c>
      <c r="AE6" s="101">
        <v>0</v>
      </c>
      <c r="AF6" s="101">
        <v>0</v>
      </c>
      <c r="AG6" s="101">
        <v>61.4</v>
      </c>
      <c r="AH6" s="43">
        <v>0</v>
      </c>
    </row>
    <row r="7" ht="38.25" customHeight="1" spans="1:34">
      <c r="A7" s="8">
        <f>7-6</f>
        <v>1</v>
      </c>
      <c r="B7" s="94" t="s">
        <v>50</v>
      </c>
      <c r="C7" s="94"/>
      <c r="D7" s="94"/>
      <c r="E7" s="94"/>
      <c r="F7" s="35">
        <f t="shared" ref="F7:F53" si="0">G7+U7</f>
        <v>25084.215998</v>
      </c>
      <c r="G7" s="35">
        <f t="shared" ref="G7:G53" si="1">H7+L7+M7+N7+T7</f>
        <v>6200.025998</v>
      </c>
      <c r="H7" s="35">
        <f t="shared" ref="H7:H53" si="2">I7+J7+K7</f>
        <v>6200.025998</v>
      </c>
      <c r="I7" s="35">
        <f t="shared" ref="I7:M7" si="3">SUM(I8,I11,I14,I31,I39,I44,I47,I51)</f>
        <v>6200.025998</v>
      </c>
      <c r="J7" s="35">
        <f t="shared" si="3"/>
        <v>0</v>
      </c>
      <c r="K7" s="35">
        <f t="shared" si="3"/>
        <v>0</v>
      </c>
      <c r="L7" s="35">
        <f t="shared" si="3"/>
        <v>0</v>
      </c>
      <c r="M7" s="35">
        <f t="shared" si="3"/>
        <v>0</v>
      </c>
      <c r="N7" s="35">
        <f t="shared" ref="N7:N53" si="4">SUM(O7,S7)</f>
        <v>0</v>
      </c>
      <c r="O7" s="35">
        <f t="shared" ref="O7:T7" si="5">SUM(O8,O11,O14,O31,O39,O44,O47,O51)</f>
        <v>0</v>
      </c>
      <c r="P7" s="35">
        <f t="shared" si="5"/>
        <v>0</v>
      </c>
      <c r="Q7" s="35">
        <f t="shared" si="5"/>
        <v>0</v>
      </c>
      <c r="R7" s="35">
        <f t="shared" si="5"/>
        <v>0</v>
      </c>
      <c r="S7" s="35">
        <f t="shared" si="5"/>
        <v>0</v>
      </c>
      <c r="T7" s="35">
        <f t="shared" si="5"/>
        <v>0</v>
      </c>
      <c r="U7" s="35">
        <f t="shared" ref="U7:U53" si="6">V7+Z7+AA7+AB7+AH7</f>
        <v>18884.19</v>
      </c>
      <c r="V7" s="35">
        <f t="shared" ref="V7:V53" si="7">W7+X7+Y7</f>
        <v>17997.47</v>
      </c>
      <c r="W7" s="35">
        <f t="shared" ref="W7:AA7" si="8">SUM(W8,W11,W14,W31,W39,W44,W47,W51)</f>
        <v>17997.47</v>
      </c>
      <c r="X7" s="35">
        <f t="shared" si="8"/>
        <v>0</v>
      </c>
      <c r="Y7" s="35">
        <f t="shared" si="8"/>
        <v>0</v>
      </c>
      <c r="Z7" s="35">
        <f t="shared" si="8"/>
        <v>0</v>
      </c>
      <c r="AA7" s="35">
        <f t="shared" si="8"/>
        <v>0</v>
      </c>
      <c r="AB7" s="35">
        <f t="shared" ref="AB7:AB53" si="9">AC7+AD7+AE7+AF7+AG7</f>
        <v>886.72</v>
      </c>
      <c r="AC7" s="35">
        <f>SUM(AC8,AC11,AC14,AC31,AC39,AC44,AC47,AC51)</f>
        <v>0</v>
      </c>
      <c r="AD7" s="35">
        <f>SUM(AD8,AD11,AD14,AD31,AD39,AD44,AD47,AD51)</f>
        <v>886.72</v>
      </c>
      <c r="AE7" s="101">
        <v>0</v>
      </c>
      <c r="AF7" s="101">
        <v>0</v>
      </c>
      <c r="AG7" s="101"/>
      <c r="AH7" s="101">
        <v>0</v>
      </c>
    </row>
    <row r="8" ht="24" spans="1:34">
      <c r="A8" s="8">
        <f>8-6</f>
        <v>2</v>
      </c>
      <c r="B8" s="94"/>
      <c r="C8" s="94" t="s">
        <v>123</v>
      </c>
      <c r="D8" s="94"/>
      <c r="E8" s="94"/>
      <c r="F8" s="35">
        <f t="shared" si="0"/>
        <v>105</v>
      </c>
      <c r="G8" s="35">
        <f t="shared" si="1"/>
        <v>0</v>
      </c>
      <c r="H8" s="35">
        <f t="shared" si="2"/>
        <v>0</v>
      </c>
      <c r="I8" s="35">
        <f t="shared" ref="I8:M8" si="10">SUM(I9)</f>
        <v>0</v>
      </c>
      <c r="J8" s="35">
        <f t="shared" si="10"/>
        <v>0</v>
      </c>
      <c r="K8" s="35">
        <f t="shared" si="10"/>
        <v>0</v>
      </c>
      <c r="L8" s="35">
        <f t="shared" si="10"/>
        <v>0</v>
      </c>
      <c r="M8" s="35">
        <f t="shared" si="10"/>
        <v>0</v>
      </c>
      <c r="N8" s="35">
        <f t="shared" si="4"/>
        <v>0</v>
      </c>
      <c r="O8" s="35">
        <f t="shared" ref="O8:T8" si="11">SUM(O9)</f>
        <v>0</v>
      </c>
      <c r="P8" s="35">
        <f t="shared" si="11"/>
        <v>0</v>
      </c>
      <c r="Q8" s="35">
        <f t="shared" si="11"/>
        <v>0</v>
      </c>
      <c r="R8" s="35">
        <f t="shared" si="11"/>
        <v>0</v>
      </c>
      <c r="S8" s="35">
        <f t="shared" si="11"/>
        <v>0</v>
      </c>
      <c r="T8" s="35">
        <f t="shared" si="11"/>
        <v>0</v>
      </c>
      <c r="U8" s="35">
        <f t="shared" si="6"/>
        <v>105</v>
      </c>
      <c r="V8" s="35">
        <f t="shared" si="7"/>
        <v>105</v>
      </c>
      <c r="W8" s="35">
        <f t="shared" ref="W8:AA8" si="12">SUM(W9)</f>
        <v>105</v>
      </c>
      <c r="X8" s="35">
        <f t="shared" si="12"/>
        <v>0</v>
      </c>
      <c r="Y8" s="35">
        <f t="shared" si="12"/>
        <v>0</v>
      </c>
      <c r="Z8" s="35">
        <f t="shared" si="12"/>
        <v>0</v>
      </c>
      <c r="AA8" s="35">
        <f t="shared" si="12"/>
        <v>0</v>
      </c>
      <c r="AB8" s="35">
        <f t="shared" si="9"/>
        <v>0</v>
      </c>
      <c r="AC8" s="35">
        <f t="shared" ref="AC8:AC12" si="13">SUM(AC9)</f>
        <v>0</v>
      </c>
      <c r="AD8" s="35">
        <f t="shared" ref="AD8:AD12" si="14">SUM(AD9)</f>
        <v>0</v>
      </c>
      <c r="AE8" s="101">
        <v>0</v>
      </c>
      <c r="AF8" s="101">
        <v>0</v>
      </c>
      <c r="AG8" s="101">
        <v>0</v>
      </c>
      <c r="AH8" s="101">
        <v>0</v>
      </c>
    </row>
    <row r="9" ht="36" spans="1:34">
      <c r="A9" s="8">
        <f>9-6</f>
        <v>3</v>
      </c>
      <c r="B9" s="94"/>
      <c r="C9" s="94"/>
      <c r="D9" s="94" t="s">
        <v>124</v>
      </c>
      <c r="E9" s="94"/>
      <c r="F9" s="35">
        <f t="shared" si="0"/>
        <v>105</v>
      </c>
      <c r="G9" s="35">
        <f t="shared" si="1"/>
        <v>0</v>
      </c>
      <c r="H9" s="35">
        <f t="shared" si="2"/>
        <v>0</v>
      </c>
      <c r="I9" s="35">
        <f t="shared" ref="I9:M9" si="15">SUM(I10)</f>
        <v>0</v>
      </c>
      <c r="J9" s="35">
        <f t="shared" si="15"/>
        <v>0</v>
      </c>
      <c r="K9" s="35">
        <f t="shared" si="15"/>
        <v>0</v>
      </c>
      <c r="L9" s="35">
        <f t="shared" si="15"/>
        <v>0</v>
      </c>
      <c r="M9" s="35">
        <f t="shared" si="15"/>
        <v>0</v>
      </c>
      <c r="N9" s="35">
        <f t="shared" si="4"/>
        <v>0</v>
      </c>
      <c r="O9" s="35">
        <f t="shared" ref="O9:T9" si="16">SUM(O10)</f>
        <v>0</v>
      </c>
      <c r="P9" s="35">
        <f t="shared" si="16"/>
        <v>0</v>
      </c>
      <c r="Q9" s="35">
        <f t="shared" si="16"/>
        <v>0</v>
      </c>
      <c r="R9" s="35">
        <f t="shared" si="16"/>
        <v>0</v>
      </c>
      <c r="S9" s="35">
        <f t="shared" si="16"/>
        <v>0</v>
      </c>
      <c r="T9" s="35">
        <f t="shared" si="16"/>
        <v>0</v>
      </c>
      <c r="U9" s="35">
        <f t="shared" si="6"/>
        <v>105</v>
      </c>
      <c r="V9" s="35">
        <f t="shared" si="7"/>
        <v>105</v>
      </c>
      <c r="W9" s="35">
        <f t="shared" ref="W9:AA9" si="17">SUM(W10)</f>
        <v>105</v>
      </c>
      <c r="X9" s="35">
        <f t="shared" si="17"/>
        <v>0</v>
      </c>
      <c r="Y9" s="35">
        <f t="shared" si="17"/>
        <v>0</v>
      </c>
      <c r="Z9" s="35">
        <f t="shared" si="17"/>
        <v>0</v>
      </c>
      <c r="AA9" s="35">
        <f t="shared" si="17"/>
        <v>0</v>
      </c>
      <c r="AB9" s="35">
        <f t="shared" si="9"/>
        <v>0</v>
      </c>
      <c r="AC9" s="35">
        <f t="shared" si="13"/>
        <v>0</v>
      </c>
      <c r="AD9" s="35">
        <f t="shared" si="14"/>
        <v>0</v>
      </c>
      <c r="AE9" s="101">
        <v>0</v>
      </c>
      <c r="AF9" s="101">
        <v>0</v>
      </c>
      <c r="AG9" s="101">
        <v>0</v>
      </c>
      <c r="AH9" s="101">
        <v>0</v>
      </c>
    </row>
    <row r="10" ht="24" spans="1:34">
      <c r="A10" s="8">
        <f>10-6</f>
        <v>4</v>
      </c>
      <c r="B10" s="94"/>
      <c r="C10" s="94"/>
      <c r="D10" s="94"/>
      <c r="E10" s="94" t="s">
        <v>59</v>
      </c>
      <c r="F10" s="35">
        <f t="shared" si="0"/>
        <v>105</v>
      </c>
      <c r="G10" s="35">
        <f t="shared" si="1"/>
        <v>0</v>
      </c>
      <c r="H10" s="35">
        <f t="shared" si="2"/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f t="shared" si="4"/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f t="shared" si="6"/>
        <v>105</v>
      </c>
      <c r="V10" s="35">
        <f t="shared" si="7"/>
        <v>105</v>
      </c>
      <c r="W10" s="35">
        <v>105</v>
      </c>
      <c r="X10" s="35">
        <v>0</v>
      </c>
      <c r="Y10" s="35">
        <v>0</v>
      </c>
      <c r="Z10" s="35">
        <v>0</v>
      </c>
      <c r="AA10" s="35">
        <v>0</v>
      </c>
      <c r="AB10" s="35">
        <f t="shared" si="9"/>
        <v>0</v>
      </c>
      <c r="AC10" s="35">
        <v>0</v>
      </c>
      <c r="AD10" s="35">
        <v>0</v>
      </c>
      <c r="AE10" s="101">
        <v>0</v>
      </c>
      <c r="AF10" s="101">
        <v>0</v>
      </c>
      <c r="AG10" s="101">
        <v>0</v>
      </c>
      <c r="AH10" s="101">
        <v>0</v>
      </c>
    </row>
    <row r="11" ht="36" spans="1:34">
      <c r="A11" s="8">
        <f>11-6</f>
        <v>5</v>
      </c>
      <c r="B11" s="94"/>
      <c r="C11" s="94" t="s">
        <v>125</v>
      </c>
      <c r="D11" s="94"/>
      <c r="E11" s="94"/>
      <c r="F11" s="35">
        <f t="shared" si="0"/>
        <v>595</v>
      </c>
      <c r="G11" s="35">
        <f t="shared" si="1"/>
        <v>0</v>
      </c>
      <c r="H11" s="35">
        <f t="shared" si="2"/>
        <v>0</v>
      </c>
      <c r="I11" s="35">
        <f t="shared" ref="I11:M11" si="18">SUM(I12)</f>
        <v>0</v>
      </c>
      <c r="J11" s="35">
        <f t="shared" si="18"/>
        <v>0</v>
      </c>
      <c r="K11" s="35">
        <f t="shared" si="18"/>
        <v>0</v>
      </c>
      <c r="L11" s="35">
        <f t="shared" si="18"/>
        <v>0</v>
      </c>
      <c r="M11" s="35">
        <f t="shared" si="18"/>
        <v>0</v>
      </c>
      <c r="N11" s="35">
        <f t="shared" si="4"/>
        <v>0</v>
      </c>
      <c r="O11" s="35">
        <f t="shared" ref="O11:T11" si="19">SUM(O12)</f>
        <v>0</v>
      </c>
      <c r="P11" s="35">
        <f t="shared" si="19"/>
        <v>0</v>
      </c>
      <c r="Q11" s="35">
        <f t="shared" si="19"/>
        <v>0</v>
      </c>
      <c r="R11" s="35">
        <f t="shared" si="19"/>
        <v>0</v>
      </c>
      <c r="S11" s="35">
        <f t="shared" si="19"/>
        <v>0</v>
      </c>
      <c r="T11" s="35">
        <f t="shared" si="19"/>
        <v>0</v>
      </c>
      <c r="U11" s="35">
        <f t="shared" si="6"/>
        <v>595</v>
      </c>
      <c r="V11" s="35">
        <f t="shared" si="7"/>
        <v>595</v>
      </c>
      <c r="W11" s="35">
        <f t="shared" ref="W11:AA11" si="20">SUM(W12)</f>
        <v>595</v>
      </c>
      <c r="X11" s="35">
        <f t="shared" si="20"/>
        <v>0</v>
      </c>
      <c r="Y11" s="35">
        <f t="shared" si="20"/>
        <v>0</v>
      </c>
      <c r="Z11" s="35">
        <f t="shared" si="20"/>
        <v>0</v>
      </c>
      <c r="AA11" s="35">
        <f t="shared" si="20"/>
        <v>0</v>
      </c>
      <c r="AB11" s="35">
        <f t="shared" si="9"/>
        <v>0</v>
      </c>
      <c r="AC11" s="35">
        <f t="shared" si="13"/>
        <v>0</v>
      </c>
      <c r="AD11" s="35">
        <f t="shared" si="14"/>
        <v>0</v>
      </c>
      <c r="AE11" s="101">
        <v>0</v>
      </c>
      <c r="AF11" s="101">
        <v>0</v>
      </c>
      <c r="AG11" s="101">
        <v>0</v>
      </c>
      <c r="AH11" s="101">
        <v>0</v>
      </c>
    </row>
    <row r="12" ht="36" spans="1:34">
      <c r="A12" s="8">
        <f>12-6</f>
        <v>6</v>
      </c>
      <c r="B12" s="94"/>
      <c r="C12" s="94"/>
      <c r="D12" s="94" t="s">
        <v>126</v>
      </c>
      <c r="E12" s="94"/>
      <c r="F12" s="35">
        <f t="shared" si="0"/>
        <v>595</v>
      </c>
      <c r="G12" s="35">
        <f t="shared" si="1"/>
        <v>0</v>
      </c>
      <c r="H12" s="35">
        <f t="shared" si="2"/>
        <v>0</v>
      </c>
      <c r="I12" s="35">
        <f t="shared" ref="I12:M12" si="21">SUM(I13)</f>
        <v>0</v>
      </c>
      <c r="J12" s="35">
        <f t="shared" si="21"/>
        <v>0</v>
      </c>
      <c r="K12" s="35">
        <f t="shared" si="21"/>
        <v>0</v>
      </c>
      <c r="L12" s="35">
        <f t="shared" si="21"/>
        <v>0</v>
      </c>
      <c r="M12" s="35">
        <f t="shared" si="21"/>
        <v>0</v>
      </c>
      <c r="N12" s="35">
        <f t="shared" si="4"/>
        <v>0</v>
      </c>
      <c r="O12" s="35">
        <f t="shared" ref="O12:T12" si="22">SUM(O13)</f>
        <v>0</v>
      </c>
      <c r="P12" s="35">
        <f t="shared" si="22"/>
        <v>0</v>
      </c>
      <c r="Q12" s="35">
        <f t="shared" si="22"/>
        <v>0</v>
      </c>
      <c r="R12" s="35">
        <f t="shared" si="22"/>
        <v>0</v>
      </c>
      <c r="S12" s="35">
        <f t="shared" si="22"/>
        <v>0</v>
      </c>
      <c r="T12" s="35">
        <f t="shared" si="22"/>
        <v>0</v>
      </c>
      <c r="U12" s="35">
        <f t="shared" si="6"/>
        <v>595</v>
      </c>
      <c r="V12" s="35">
        <f t="shared" si="7"/>
        <v>595</v>
      </c>
      <c r="W12" s="35">
        <f t="shared" ref="W12:AA12" si="23">SUM(W13)</f>
        <v>595</v>
      </c>
      <c r="X12" s="35">
        <f t="shared" si="23"/>
        <v>0</v>
      </c>
      <c r="Y12" s="35">
        <f t="shared" si="23"/>
        <v>0</v>
      </c>
      <c r="Z12" s="35">
        <f t="shared" si="23"/>
        <v>0</v>
      </c>
      <c r="AA12" s="35">
        <f t="shared" si="23"/>
        <v>0</v>
      </c>
      <c r="AB12" s="35">
        <f t="shared" si="9"/>
        <v>0</v>
      </c>
      <c r="AC12" s="35">
        <f t="shared" si="13"/>
        <v>0</v>
      </c>
      <c r="AD12" s="35">
        <f t="shared" si="14"/>
        <v>0</v>
      </c>
      <c r="AE12" s="101">
        <v>0</v>
      </c>
      <c r="AF12" s="101">
        <v>0</v>
      </c>
      <c r="AG12" s="101">
        <v>0</v>
      </c>
      <c r="AH12" s="101">
        <v>0</v>
      </c>
    </row>
    <row r="13" spans="1:34">
      <c r="A13" s="8">
        <f>13-6</f>
        <v>7</v>
      </c>
      <c r="B13" s="94"/>
      <c r="C13" s="94"/>
      <c r="D13" s="94"/>
      <c r="E13" s="94" t="s">
        <v>60</v>
      </c>
      <c r="F13" s="35">
        <f t="shared" si="0"/>
        <v>595</v>
      </c>
      <c r="G13" s="35">
        <f t="shared" si="1"/>
        <v>0</v>
      </c>
      <c r="H13" s="35">
        <f t="shared" si="2"/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f t="shared" si="4"/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f t="shared" si="6"/>
        <v>595</v>
      </c>
      <c r="V13" s="35">
        <f t="shared" si="7"/>
        <v>595</v>
      </c>
      <c r="W13" s="35">
        <v>595</v>
      </c>
      <c r="X13" s="35">
        <v>0</v>
      </c>
      <c r="Y13" s="35">
        <v>0</v>
      </c>
      <c r="Z13" s="35">
        <v>0</v>
      </c>
      <c r="AA13" s="35">
        <v>0</v>
      </c>
      <c r="AB13" s="35">
        <f t="shared" si="9"/>
        <v>0</v>
      </c>
      <c r="AC13" s="35">
        <v>0</v>
      </c>
      <c r="AD13" s="35">
        <v>0</v>
      </c>
      <c r="AE13" s="101">
        <v>0</v>
      </c>
      <c r="AF13" s="101">
        <v>0</v>
      </c>
      <c r="AG13" s="101">
        <v>0</v>
      </c>
      <c r="AH13" s="101">
        <v>0</v>
      </c>
    </row>
    <row r="14" ht="36" spans="1:34">
      <c r="A14" s="8">
        <f>14-6</f>
        <v>8</v>
      </c>
      <c r="B14" s="94"/>
      <c r="C14" s="94" t="s">
        <v>127</v>
      </c>
      <c r="D14" s="94"/>
      <c r="E14" s="94"/>
      <c r="F14" s="35">
        <f t="shared" si="0"/>
        <v>2438.176</v>
      </c>
      <c r="G14" s="35">
        <f t="shared" si="1"/>
        <v>675.566</v>
      </c>
      <c r="H14" s="35">
        <f t="shared" si="2"/>
        <v>675.566</v>
      </c>
      <c r="I14" s="35">
        <f t="shared" ref="I14:M14" si="24">SUM(I15,I17,I21,I23,I25,I27,I29)</f>
        <v>675.566</v>
      </c>
      <c r="J14" s="35">
        <f t="shared" si="24"/>
        <v>0</v>
      </c>
      <c r="K14" s="35">
        <f t="shared" si="24"/>
        <v>0</v>
      </c>
      <c r="L14" s="35">
        <f t="shared" si="24"/>
        <v>0</v>
      </c>
      <c r="M14" s="35">
        <f t="shared" si="24"/>
        <v>0</v>
      </c>
      <c r="N14" s="35">
        <f t="shared" si="4"/>
        <v>0</v>
      </c>
      <c r="O14" s="35">
        <f t="shared" ref="O14:T14" si="25">SUM(O15,O17,O21,O23,O25,O27,O29)</f>
        <v>0</v>
      </c>
      <c r="P14" s="35">
        <f t="shared" si="25"/>
        <v>0</v>
      </c>
      <c r="Q14" s="35">
        <f t="shared" si="25"/>
        <v>0</v>
      </c>
      <c r="R14" s="35">
        <f t="shared" si="25"/>
        <v>0</v>
      </c>
      <c r="S14" s="35">
        <f t="shared" si="25"/>
        <v>0</v>
      </c>
      <c r="T14" s="35">
        <f t="shared" si="25"/>
        <v>0</v>
      </c>
      <c r="U14" s="35">
        <f t="shared" si="6"/>
        <v>1762.61</v>
      </c>
      <c r="V14" s="35">
        <f t="shared" si="7"/>
        <v>875.89</v>
      </c>
      <c r="W14" s="35">
        <f t="shared" ref="W14:AA14" si="26">SUM(W15,W17,W21,W23,W25,W27,W29)</f>
        <v>875.89</v>
      </c>
      <c r="X14" s="35">
        <f t="shared" si="26"/>
        <v>0</v>
      </c>
      <c r="Y14" s="35">
        <f t="shared" si="26"/>
        <v>0</v>
      </c>
      <c r="Z14" s="35">
        <f t="shared" si="26"/>
        <v>0</v>
      </c>
      <c r="AA14" s="35">
        <f t="shared" si="26"/>
        <v>0</v>
      </c>
      <c r="AB14" s="35">
        <f t="shared" si="9"/>
        <v>886.72</v>
      </c>
      <c r="AC14" s="35">
        <f>SUM(AC15,AC17,AC21,AC23,AC25,AC27,AC29)</f>
        <v>0</v>
      </c>
      <c r="AD14" s="35">
        <f>SUM(AD15,AD17,AD21,AD23,AD25,AD27,AD29)</f>
        <v>886.72</v>
      </c>
      <c r="AE14" s="101">
        <v>0</v>
      </c>
      <c r="AF14" s="101">
        <v>0</v>
      </c>
      <c r="AG14" s="101">
        <v>0</v>
      </c>
      <c r="AH14" s="101">
        <v>0</v>
      </c>
    </row>
    <row r="15" ht="36" spans="1:34">
      <c r="A15" s="8">
        <f>15-6</f>
        <v>9</v>
      </c>
      <c r="B15" s="94"/>
      <c r="C15" s="94"/>
      <c r="D15" s="94" t="s">
        <v>128</v>
      </c>
      <c r="E15" s="94"/>
      <c r="F15" s="35">
        <f t="shared" si="0"/>
        <v>215.79</v>
      </c>
      <c r="G15" s="35">
        <f t="shared" si="1"/>
        <v>0</v>
      </c>
      <c r="H15" s="35">
        <f t="shared" si="2"/>
        <v>0</v>
      </c>
      <c r="I15" s="35">
        <f t="shared" ref="I15:M15" si="27">SUM(I16)</f>
        <v>0</v>
      </c>
      <c r="J15" s="35">
        <f t="shared" si="27"/>
        <v>0</v>
      </c>
      <c r="K15" s="35">
        <f t="shared" si="27"/>
        <v>0</v>
      </c>
      <c r="L15" s="35">
        <f t="shared" si="27"/>
        <v>0</v>
      </c>
      <c r="M15" s="35">
        <f t="shared" si="27"/>
        <v>0</v>
      </c>
      <c r="N15" s="35">
        <f t="shared" si="4"/>
        <v>0</v>
      </c>
      <c r="O15" s="35">
        <f t="shared" ref="O15:T15" si="28">SUM(O16)</f>
        <v>0</v>
      </c>
      <c r="P15" s="35">
        <f t="shared" si="28"/>
        <v>0</v>
      </c>
      <c r="Q15" s="35">
        <f t="shared" si="28"/>
        <v>0</v>
      </c>
      <c r="R15" s="35">
        <f t="shared" si="28"/>
        <v>0</v>
      </c>
      <c r="S15" s="35">
        <f t="shared" si="28"/>
        <v>0</v>
      </c>
      <c r="T15" s="35">
        <f t="shared" si="28"/>
        <v>0</v>
      </c>
      <c r="U15" s="35">
        <f t="shared" si="6"/>
        <v>215.79</v>
      </c>
      <c r="V15" s="35">
        <f t="shared" si="7"/>
        <v>215.79</v>
      </c>
      <c r="W15" s="35">
        <f t="shared" ref="W15:AA15" si="29">SUM(W16)</f>
        <v>215.79</v>
      </c>
      <c r="X15" s="35">
        <f t="shared" si="29"/>
        <v>0</v>
      </c>
      <c r="Y15" s="35">
        <f t="shared" si="29"/>
        <v>0</v>
      </c>
      <c r="Z15" s="35">
        <f t="shared" si="29"/>
        <v>0</v>
      </c>
      <c r="AA15" s="35">
        <f t="shared" si="29"/>
        <v>0</v>
      </c>
      <c r="AB15" s="35">
        <f t="shared" si="9"/>
        <v>0</v>
      </c>
      <c r="AC15" s="35">
        <f>SUM(AC16)</f>
        <v>0</v>
      </c>
      <c r="AD15" s="35">
        <f>SUM(AD16)</f>
        <v>0</v>
      </c>
      <c r="AE15" s="101">
        <v>0</v>
      </c>
      <c r="AF15" s="101">
        <v>0</v>
      </c>
      <c r="AG15" s="101">
        <v>0</v>
      </c>
      <c r="AH15" s="101">
        <v>0</v>
      </c>
    </row>
    <row r="16" ht="24" spans="1:34">
      <c r="A16" s="8">
        <f>16-6</f>
        <v>10</v>
      </c>
      <c r="B16" s="94"/>
      <c r="C16" s="94"/>
      <c r="D16" s="94"/>
      <c r="E16" s="94" t="s">
        <v>61</v>
      </c>
      <c r="F16" s="35">
        <f t="shared" si="0"/>
        <v>215.79</v>
      </c>
      <c r="G16" s="35">
        <f t="shared" si="1"/>
        <v>0</v>
      </c>
      <c r="H16" s="35">
        <f t="shared" si="2"/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f t="shared" si="4"/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f t="shared" si="6"/>
        <v>215.79</v>
      </c>
      <c r="V16" s="35">
        <f t="shared" si="7"/>
        <v>215.79</v>
      </c>
      <c r="W16" s="35">
        <v>215.79</v>
      </c>
      <c r="X16" s="35">
        <v>0</v>
      </c>
      <c r="Y16" s="35">
        <v>0</v>
      </c>
      <c r="Z16" s="35">
        <v>0</v>
      </c>
      <c r="AA16" s="35">
        <v>0</v>
      </c>
      <c r="AB16" s="35">
        <f t="shared" si="9"/>
        <v>0</v>
      </c>
      <c r="AC16" s="35">
        <v>0</v>
      </c>
      <c r="AD16" s="35">
        <v>0</v>
      </c>
      <c r="AE16" s="101">
        <v>0</v>
      </c>
      <c r="AF16" s="101">
        <v>0</v>
      </c>
      <c r="AG16" s="101">
        <v>0</v>
      </c>
      <c r="AH16" s="101">
        <v>0</v>
      </c>
    </row>
    <row r="17" ht="48" spans="1:34">
      <c r="A17" s="8">
        <f>17-6</f>
        <v>11</v>
      </c>
      <c r="B17" s="94"/>
      <c r="C17" s="94"/>
      <c r="D17" s="94" t="s">
        <v>129</v>
      </c>
      <c r="E17" s="94"/>
      <c r="F17" s="35">
        <f t="shared" si="0"/>
        <v>675.566</v>
      </c>
      <c r="G17" s="35">
        <f t="shared" si="1"/>
        <v>675.566</v>
      </c>
      <c r="H17" s="35">
        <f t="shared" si="2"/>
        <v>675.566</v>
      </c>
      <c r="I17" s="35">
        <f t="shared" ref="I17:M17" si="30">SUM(I18:I20)</f>
        <v>675.566</v>
      </c>
      <c r="J17" s="35">
        <f t="shared" si="30"/>
        <v>0</v>
      </c>
      <c r="K17" s="35">
        <f t="shared" si="30"/>
        <v>0</v>
      </c>
      <c r="L17" s="35">
        <f t="shared" si="30"/>
        <v>0</v>
      </c>
      <c r="M17" s="35">
        <f t="shared" si="30"/>
        <v>0</v>
      </c>
      <c r="N17" s="35">
        <f t="shared" si="4"/>
        <v>0</v>
      </c>
      <c r="O17" s="35">
        <f t="shared" ref="O17:T17" si="31">SUM(O18:O20)</f>
        <v>0</v>
      </c>
      <c r="P17" s="35">
        <f t="shared" si="31"/>
        <v>0</v>
      </c>
      <c r="Q17" s="35">
        <f t="shared" si="31"/>
        <v>0</v>
      </c>
      <c r="R17" s="35">
        <f t="shared" si="31"/>
        <v>0</v>
      </c>
      <c r="S17" s="35">
        <f t="shared" si="31"/>
        <v>0</v>
      </c>
      <c r="T17" s="35">
        <f t="shared" si="31"/>
        <v>0</v>
      </c>
      <c r="U17" s="35">
        <f t="shared" si="6"/>
        <v>0</v>
      </c>
      <c r="V17" s="35">
        <f t="shared" si="7"/>
        <v>0</v>
      </c>
      <c r="W17" s="35">
        <f t="shared" ref="W17:AA17" si="32">SUM(W18:W20)</f>
        <v>0</v>
      </c>
      <c r="X17" s="35">
        <f t="shared" si="32"/>
        <v>0</v>
      </c>
      <c r="Y17" s="35">
        <f t="shared" si="32"/>
        <v>0</v>
      </c>
      <c r="Z17" s="35">
        <f t="shared" si="32"/>
        <v>0</v>
      </c>
      <c r="AA17" s="35">
        <f t="shared" si="32"/>
        <v>0</v>
      </c>
      <c r="AB17" s="35">
        <f t="shared" si="9"/>
        <v>0</v>
      </c>
      <c r="AC17" s="35">
        <f>SUM(AC18:AC20)</f>
        <v>0</v>
      </c>
      <c r="AD17" s="35">
        <f>SUM(AD18:AD20)</f>
        <v>0</v>
      </c>
      <c r="AE17" s="101">
        <v>0</v>
      </c>
      <c r="AF17" s="101">
        <v>0</v>
      </c>
      <c r="AG17" s="101">
        <v>0</v>
      </c>
      <c r="AH17" s="101">
        <v>0</v>
      </c>
    </row>
    <row r="18" spans="1:34">
      <c r="A18" s="8">
        <f>18-6</f>
        <v>12</v>
      </c>
      <c r="B18" s="94"/>
      <c r="C18" s="94"/>
      <c r="D18" s="94"/>
      <c r="E18" s="94" t="s">
        <v>62</v>
      </c>
      <c r="F18" s="35">
        <f t="shared" si="0"/>
        <v>180.566</v>
      </c>
      <c r="G18" s="35">
        <f t="shared" si="1"/>
        <v>180.566</v>
      </c>
      <c r="H18" s="35">
        <f t="shared" si="2"/>
        <v>180.566</v>
      </c>
      <c r="I18" s="35">
        <v>180.566</v>
      </c>
      <c r="J18" s="35">
        <v>0</v>
      </c>
      <c r="K18" s="35">
        <v>0</v>
      </c>
      <c r="L18" s="35">
        <v>0</v>
      </c>
      <c r="M18" s="35">
        <v>0</v>
      </c>
      <c r="N18" s="35">
        <f t="shared" si="4"/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6"/>
        <v>0</v>
      </c>
      <c r="V18" s="35">
        <f t="shared" si="7"/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f t="shared" si="9"/>
        <v>0</v>
      </c>
      <c r="AC18" s="35">
        <v>0</v>
      </c>
      <c r="AD18" s="35">
        <v>0</v>
      </c>
      <c r="AE18" s="101">
        <v>0</v>
      </c>
      <c r="AF18" s="101">
        <v>0</v>
      </c>
      <c r="AG18" s="101">
        <v>0</v>
      </c>
      <c r="AH18" s="101">
        <v>0</v>
      </c>
    </row>
    <row r="19" ht="24" spans="1:34">
      <c r="A19" s="8">
        <f>19-6</f>
        <v>13</v>
      </c>
      <c r="B19" s="94"/>
      <c r="C19" s="94"/>
      <c r="D19" s="94"/>
      <c r="E19" s="94" t="s">
        <v>63</v>
      </c>
      <c r="F19" s="35">
        <f t="shared" si="0"/>
        <v>330</v>
      </c>
      <c r="G19" s="35">
        <f t="shared" si="1"/>
        <v>330</v>
      </c>
      <c r="H19" s="35">
        <f t="shared" si="2"/>
        <v>330</v>
      </c>
      <c r="I19" s="35">
        <v>330</v>
      </c>
      <c r="J19" s="35">
        <v>0</v>
      </c>
      <c r="K19" s="35">
        <v>0</v>
      </c>
      <c r="L19" s="35">
        <v>0</v>
      </c>
      <c r="M19" s="35">
        <v>0</v>
      </c>
      <c r="N19" s="35">
        <f t="shared" si="4"/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6"/>
        <v>0</v>
      </c>
      <c r="V19" s="35">
        <f t="shared" si="7"/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f t="shared" si="9"/>
        <v>0</v>
      </c>
      <c r="AC19" s="35">
        <v>0</v>
      </c>
      <c r="AD19" s="35">
        <v>0</v>
      </c>
      <c r="AE19" s="101">
        <v>0</v>
      </c>
      <c r="AF19" s="101">
        <v>0</v>
      </c>
      <c r="AG19" s="101">
        <v>0</v>
      </c>
      <c r="AH19" s="101">
        <v>0</v>
      </c>
    </row>
    <row r="20" ht="24" spans="1:34">
      <c r="A20" s="8">
        <f>20-6</f>
        <v>14</v>
      </c>
      <c r="B20" s="94"/>
      <c r="C20" s="94"/>
      <c r="D20" s="94"/>
      <c r="E20" s="94" t="s">
        <v>64</v>
      </c>
      <c r="F20" s="35">
        <f t="shared" si="0"/>
        <v>165</v>
      </c>
      <c r="G20" s="35">
        <f t="shared" si="1"/>
        <v>165</v>
      </c>
      <c r="H20" s="35">
        <f t="shared" si="2"/>
        <v>165</v>
      </c>
      <c r="I20" s="35">
        <v>165</v>
      </c>
      <c r="J20" s="35">
        <v>0</v>
      </c>
      <c r="K20" s="35">
        <v>0</v>
      </c>
      <c r="L20" s="35">
        <v>0</v>
      </c>
      <c r="M20" s="35">
        <v>0</v>
      </c>
      <c r="N20" s="35">
        <f t="shared" si="4"/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6"/>
        <v>0</v>
      </c>
      <c r="V20" s="35">
        <f t="shared" si="7"/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f t="shared" si="9"/>
        <v>0</v>
      </c>
      <c r="AC20" s="35">
        <v>0</v>
      </c>
      <c r="AD20" s="35">
        <v>0</v>
      </c>
      <c r="AE20" s="101">
        <v>0</v>
      </c>
      <c r="AF20" s="101">
        <v>0</v>
      </c>
      <c r="AG20" s="101">
        <v>0</v>
      </c>
      <c r="AH20" s="101">
        <v>0</v>
      </c>
    </row>
    <row r="21" ht="24" spans="1:34">
      <c r="A21" s="8">
        <f>21-6</f>
        <v>15</v>
      </c>
      <c r="B21" s="94"/>
      <c r="C21" s="94"/>
      <c r="D21" s="94" t="s">
        <v>130</v>
      </c>
      <c r="E21" s="94"/>
      <c r="F21" s="35">
        <f t="shared" si="0"/>
        <v>773.65</v>
      </c>
      <c r="G21" s="35">
        <f t="shared" si="1"/>
        <v>0</v>
      </c>
      <c r="H21" s="35">
        <f t="shared" si="2"/>
        <v>0</v>
      </c>
      <c r="I21" s="35">
        <f t="shared" ref="I21:M21" si="33">SUM(I22)</f>
        <v>0</v>
      </c>
      <c r="J21" s="35">
        <f t="shared" si="33"/>
        <v>0</v>
      </c>
      <c r="K21" s="35">
        <f t="shared" si="33"/>
        <v>0</v>
      </c>
      <c r="L21" s="35">
        <f t="shared" si="33"/>
        <v>0</v>
      </c>
      <c r="M21" s="35">
        <f t="shared" si="33"/>
        <v>0</v>
      </c>
      <c r="N21" s="35">
        <f t="shared" si="4"/>
        <v>0</v>
      </c>
      <c r="O21" s="35">
        <f t="shared" ref="O21:T21" si="34">SUM(O22)</f>
        <v>0</v>
      </c>
      <c r="P21" s="35">
        <f t="shared" si="34"/>
        <v>0</v>
      </c>
      <c r="Q21" s="35">
        <f t="shared" si="34"/>
        <v>0</v>
      </c>
      <c r="R21" s="35">
        <f t="shared" si="34"/>
        <v>0</v>
      </c>
      <c r="S21" s="35">
        <f t="shared" si="34"/>
        <v>0</v>
      </c>
      <c r="T21" s="35">
        <f t="shared" si="34"/>
        <v>0</v>
      </c>
      <c r="U21" s="35">
        <f t="shared" si="6"/>
        <v>773.65</v>
      </c>
      <c r="V21" s="35">
        <f t="shared" si="7"/>
        <v>0</v>
      </c>
      <c r="W21" s="35">
        <f t="shared" ref="W21:AA21" si="35">SUM(W22)</f>
        <v>0</v>
      </c>
      <c r="X21" s="35">
        <f t="shared" si="35"/>
        <v>0</v>
      </c>
      <c r="Y21" s="35">
        <f t="shared" si="35"/>
        <v>0</v>
      </c>
      <c r="Z21" s="35">
        <f t="shared" si="35"/>
        <v>0</v>
      </c>
      <c r="AA21" s="35">
        <f t="shared" si="35"/>
        <v>0</v>
      </c>
      <c r="AB21" s="35">
        <f t="shared" si="9"/>
        <v>773.65</v>
      </c>
      <c r="AC21" s="35">
        <f t="shared" ref="AC21:AC25" si="36">SUM(AC22)</f>
        <v>0</v>
      </c>
      <c r="AD21" s="35">
        <f t="shared" ref="AD21:AD25" si="37">SUM(AD22)</f>
        <v>773.65</v>
      </c>
      <c r="AE21" s="101">
        <v>0</v>
      </c>
      <c r="AF21" s="101">
        <v>0</v>
      </c>
      <c r="AG21" s="101">
        <v>0</v>
      </c>
      <c r="AH21" s="101">
        <v>0</v>
      </c>
    </row>
    <row r="22" ht="24" spans="1:34">
      <c r="A22" s="8">
        <f>22-6</f>
        <v>16</v>
      </c>
      <c r="B22" s="94"/>
      <c r="C22" s="94"/>
      <c r="D22" s="94"/>
      <c r="E22" s="94" t="s">
        <v>131</v>
      </c>
      <c r="F22" s="35">
        <f t="shared" si="0"/>
        <v>773.65</v>
      </c>
      <c r="G22" s="35">
        <f t="shared" si="1"/>
        <v>0</v>
      </c>
      <c r="H22" s="35">
        <f t="shared" si="2"/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f t="shared" si="4"/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f t="shared" si="6"/>
        <v>773.65</v>
      </c>
      <c r="V22" s="35">
        <f t="shared" si="7"/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f t="shared" si="9"/>
        <v>773.65</v>
      </c>
      <c r="AC22" s="35">
        <v>0</v>
      </c>
      <c r="AD22" s="35">
        <v>773.65</v>
      </c>
      <c r="AE22" s="101">
        <v>0</v>
      </c>
      <c r="AF22" s="101">
        <v>0</v>
      </c>
      <c r="AG22" s="101">
        <v>0</v>
      </c>
      <c r="AH22" s="101">
        <v>0</v>
      </c>
    </row>
    <row r="23" ht="24" spans="1:34">
      <c r="A23" s="8">
        <f>23-6</f>
        <v>17</v>
      </c>
      <c r="B23" s="94"/>
      <c r="C23" s="94"/>
      <c r="D23" s="94" t="s">
        <v>132</v>
      </c>
      <c r="E23" s="94"/>
      <c r="F23" s="35">
        <f t="shared" si="0"/>
        <v>70</v>
      </c>
      <c r="G23" s="35">
        <f t="shared" si="1"/>
        <v>0</v>
      </c>
      <c r="H23" s="35">
        <f t="shared" si="2"/>
        <v>0</v>
      </c>
      <c r="I23" s="35">
        <f t="shared" ref="I23:M23" si="38">SUM(I24)</f>
        <v>0</v>
      </c>
      <c r="J23" s="35">
        <f t="shared" si="38"/>
        <v>0</v>
      </c>
      <c r="K23" s="35">
        <f t="shared" si="38"/>
        <v>0</v>
      </c>
      <c r="L23" s="35">
        <f t="shared" si="38"/>
        <v>0</v>
      </c>
      <c r="M23" s="35">
        <f t="shared" si="38"/>
        <v>0</v>
      </c>
      <c r="N23" s="35">
        <f t="shared" si="4"/>
        <v>0</v>
      </c>
      <c r="O23" s="35">
        <f t="shared" ref="O23:T23" si="39">SUM(O24)</f>
        <v>0</v>
      </c>
      <c r="P23" s="35">
        <f t="shared" si="39"/>
        <v>0</v>
      </c>
      <c r="Q23" s="35">
        <f t="shared" si="39"/>
        <v>0</v>
      </c>
      <c r="R23" s="35">
        <f t="shared" si="39"/>
        <v>0</v>
      </c>
      <c r="S23" s="35">
        <f t="shared" si="39"/>
        <v>0</v>
      </c>
      <c r="T23" s="35">
        <f t="shared" si="39"/>
        <v>0</v>
      </c>
      <c r="U23" s="35">
        <f t="shared" si="6"/>
        <v>70</v>
      </c>
      <c r="V23" s="35">
        <f t="shared" si="7"/>
        <v>70</v>
      </c>
      <c r="W23" s="35">
        <f t="shared" ref="W23:AA23" si="40">SUM(W24)</f>
        <v>70</v>
      </c>
      <c r="X23" s="35">
        <f t="shared" si="40"/>
        <v>0</v>
      </c>
      <c r="Y23" s="35">
        <f t="shared" si="40"/>
        <v>0</v>
      </c>
      <c r="Z23" s="35">
        <f t="shared" si="40"/>
        <v>0</v>
      </c>
      <c r="AA23" s="35">
        <f t="shared" si="40"/>
        <v>0</v>
      </c>
      <c r="AB23" s="35">
        <f t="shared" si="9"/>
        <v>0</v>
      </c>
      <c r="AC23" s="35">
        <f t="shared" si="36"/>
        <v>0</v>
      </c>
      <c r="AD23" s="35">
        <f t="shared" si="37"/>
        <v>0</v>
      </c>
      <c r="AE23" s="101">
        <v>0</v>
      </c>
      <c r="AF23" s="101">
        <v>0</v>
      </c>
      <c r="AG23" s="101">
        <v>0</v>
      </c>
      <c r="AH23" s="101">
        <v>0</v>
      </c>
    </row>
    <row r="24" spans="1:34">
      <c r="A24" s="8">
        <f>24-6</f>
        <v>18</v>
      </c>
      <c r="B24" s="94"/>
      <c r="C24" s="94"/>
      <c r="D24" s="94"/>
      <c r="E24" s="94" t="s">
        <v>65</v>
      </c>
      <c r="F24" s="35">
        <f t="shared" si="0"/>
        <v>70</v>
      </c>
      <c r="G24" s="35">
        <f t="shared" si="1"/>
        <v>0</v>
      </c>
      <c r="H24" s="35">
        <f t="shared" si="2"/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f t="shared" si="4"/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f t="shared" si="6"/>
        <v>70</v>
      </c>
      <c r="V24" s="35">
        <f t="shared" si="7"/>
        <v>70</v>
      </c>
      <c r="W24" s="35">
        <v>70</v>
      </c>
      <c r="X24" s="35">
        <v>0</v>
      </c>
      <c r="Y24" s="35">
        <v>0</v>
      </c>
      <c r="Z24" s="35">
        <v>0</v>
      </c>
      <c r="AA24" s="35">
        <v>0</v>
      </c>
      <c r="AB24" s="35">
        <f t="shared" si="9"/>
        <v>0</v>
      </c>
      <c r="AC24" s="35">
        <v>0</v>
      </c>
      <c r="AD24" s="35">
        <v>0</v>
      </c>
      <c r="AE24" s="101">
        <v>0</v>
      </c>
      <c r="AF24" s="101">
        <v>0</v>
      </c>
      <c r="AG24" s="101">
        <v>0</v>
      </c>
      <c r="AH24" s="101">
        <v>0</v>
      </c>
    </row>
    <row r="25" ht="24" spans="1:34">
      <c r="A25" s="8">
        <f>25-6</f>
        <v>19</v>
      </c>
      <c r="B25" s="94"/>
      <c r="C25" s="94"/>
      <c r="D25" s="94" t="s">
        <v>133</v>
      </c>
      <c r="E25" s="94"/>
      <c r="F25" s="35">
        <f t="shared" si="0"/>
        <v>440.1</v>
      </c>
      <c r="G25" s="35">
        <f t="shared" si="1"/>
        <v>0</v>
      </c>
      <c r="H25" s="35">
        <f t="shared" si="2"/>
        <v>0</v>
      </c>
      <c r="I25" s="35">
        <f t="shared" ref="I25:M25" si="41">SUM(I26)</f>
        <v>0</v>
      </c>
      <c r="J25" s="35">
        <f t="shared" si="41"/>
        <v>0</v>
      </c>
      <c r="K25" s="35">
        <f t="shared" si="41"/>
        <v>0</v>
      </c>
      <c r="L25" s="35">
        <f t="shared" si="41"/>
        <v>0</v>
      </c>
      <c r="M25" s="35">
        <f t="shared" si="41"/>
        <v>0</v>
      </c>
      <c r="N25" s="35">
        <f t="shared" si="4"/>
        <v>0</v>
      </c>
      <c r="O25" s="35">
        <f t="shared" ref="O25:T25" si="42">SUM(O26)</f>
        <v>0</v>
      </c>
      <c r="P25" s="35">
        <f t="shared" si="42"/>
        <v>0</v>
      </c>
      <c r="Q25" s="35">
        <f t="shared" si="42"/>
        <v>0</v>
      </c>
      <c r="R25" s="35">
        <f t="shared" si="42"/>
        <v>0</v>
      </c>
      <c r="S25" s="35">
        <f t="shared" si="42"/>
        <v>0</v>
      </c>
      <c r="T25" s="35">
        <f t="shared" si="42"/>
        <v>0</v>
      </c>
      <c r="U25" s="35">
        <f t="shared" si="6"/>
        <v>440.1</v>
      </c>
      <c r="V25" s="35">
        <f t="shared" si="7"/>
        <v>420.1</v>
      </c>
      <c r="W25" s="35">
        <f t="shared" ref="W25:AA25" si="43">SUM(W26)</f>
        <v>420.1</v>
      </c>
      <c r="X25" s="35">
        <f t="shared" si="43"/>
        <v>0</v>
      </c>
      <c r="Y25" s="35">
        <f t="shared" si="43"/>
        <v>0</v>
      </c>
      <c r="Z25" s="35">
        <f t="shared" si="43"/>
        <v>0</v>
      </c>
      <c r="AA25" s="35">
        <f t="shared" si="43"/>
        <v>0</v>
      </c>
      <c r="AB25" s="35">
        <f t="shared" si="9"/>
        <v>20</v>
      </c>
      <c r="AC25" s="35">
        <f t="shared" si="36"/>
        <v>0</v>
      </c>
      <c r="AD25" s="35">
        <f t="shared" si="37"/>
        <v>20</v>
      </c>
      <c r="AE25" s="101">
        <v>0</v>
      </c>
      <c r="AF25" s="101">
        <v>0</v>
      </c>
      <c r="AG25" s="101">
        <v>0</v>
      </c>
      <c r="AH25" s="101">
        <v>0</v>
      </c>
    </row>
    <row r="26" spans="1:34">
      <c r="A26" s="8">
        <f>26-6</f>
        <v>20</v>
      </c>
      <c r="B26" s="94"/>
      <c r="C26" s="94"/>
      <c r="D26" s="94"/>
      <c r="E26" s="94" t="s">
        <v>66</v>
      </c>
      <c r="F26" s="35">
        <f t="shared" si="0"/>
        <v>440.1</v>
      </c>
      <c r="G26" s="35">
        <f t="shared" si="1"/>
        <v>0</v>
      </c>
      <c r="H26" s="35">
        <f t="shared" si="2"/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f t="shared" si="4"/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6"/>
        <v>440.1</v>
      </c>
      <c r="V26" s="35">
        <f t="shared" si="7"/>
        <v>420.1</v>
      </c>
      <c r="W26" s="35">
        <v>420.1</v>
      </c>
      <c r="X26" s="35">
        <v>0</v>
      </c>
      <c r="Y26" s="35">
        <v>0</v>
      </c>
      <c r="Z26" s="35">
        <v>0</v>
      </c>
      <c r="AA26" s="35">
        <v>0</v>
      </c>
      <c r="AB26" s="35">
        <f t="shared" si="9"/>
        <v>20</v>
      </c>
      <c r="AC26" s="35">
        <v>0</v>
      </c>
      <c r="AD26" s="35">
        <v>20</v>
      </c>
      <c r="AE26" s="101">
        <v>0</v>
      </c>
      <c r="AF26" s="101">
        <v>0</v>
      </c>
      <c r="AG26" s="101">
        <v>0</v>
      </c>
      <c r="AH26" s="101">
        <v>0</v>
      </c>
    </row>
    <row r="27" ht="36" spans="1:34">
      <c r="A27" s="8">
        <f>27-6</f>
        <v>21</v>
      </c>
      <c r="B27" s="94"/>
      <c r="C27" s="94"/>
      <c r="D27" s="94" t="s">
        <v>134</v>
      </c>
      <c r="E27" s="94"/>
      <c r="F27" s="35">
        <f t="shared" si="0"/>
        <v>121.07</v>
      </c>
      <c r="G27" s="35">
        <f t="shared" si="1"/>
        <v>0</v>
      </c>
      <c r="H27" s="35">
        <f t="shared" si="2"/>
        <v>0</v>
      </c>
      <c r="I27" s="35">
        <f t="shared" ref="I27:M27" si="44">SUM(I28)</f>
        <v>0</v>
      </c>
      <c r="J27" s="35">
        <f t="shared" si="44"/>
        <v>0</v>
      </c>
      <c r="K27" s="35">
        <f t="shared" si="44"/>
        <v>0</v>
      </c>
      <c r="L27" s="35">
        <f t="shared" si="44"/>
        <v>0</v>
      </c>
      <c r="M27" s="35">
        <f t="shared" si="44"/>
        <v>0</v>
      </c>
      <c r="N27" s="35">
        <f t="shared" si="4"/>
        <v>0</v>
      </c>
      <c r="O27" s="35">
        <f t="shared" ref="O27:T27" si="45">SUM(O28)</f>
        <v>0</v>
      </c>
      <c r="P27" s="35">
        <f t="shared" si="45"/>
        <v>0</v>
      </c>
      <c r="Q27" s="35">
        <f t="shared" si="45"/>
        <v>0</v>
      </c>
      <c r="R27" s="35">
        <f t="shared" si="45"/>
        <v>0</v>
      </c>
      <c r="S27" s="35">
        <f t="shared" si="45"/>
        <v>0</v>
      </c>
      <c r="T27" s="35">
        <f t="shared" si="45"/>
        <v>0</v>
      </c>
      <c r="U27" s="35">
        <f t="shared" si="6"/>
        <v>121.07</v>
      </c>
      <c r="V27" s="35">
        <f t="shared" si="7"/>
        <v>28</v>
      </c>
      <c r="W27" s="35">
        <f t="shared" ref="W27:AA27" si="46">SUM(W28)</f>
        <v>28</v>
      </c>
      <c r="X27" s="35">
        <f t="shared" si="46"/>
        <v>0</v>
      </c>
      <c r="Y27" s="35">
        <f t="shared" si="46"/>
        <v>0</v>
      </c>
      <c r="Z27" s="35">
        <f t="shared" si="46"/>
        <v>0</v>
      </c>
      <c r="AA27" s="35">
        <f t="shared" si="46"/>
        <v>0</v>
      </c>
      <c r="AB27" s="35">
        <f t="shared" si="9"/>
        <v>93.07</v>
      </c>
      <c r="AC27" s="35">
        <f t="shared" ref="AC27:AC32" si="47">SUM(AC28)</f>
        <v>0</v>
      </c>
      <c r="AD27" s="35">
        <f t="shared" ref="AD27:AD32" si="48">SUM(AD28)</f>
        <v>93.07</v>
      </c>
      <c r="AE27" s="101">
        <v>0</v>
      </c>
      <c r="AF27" s="101">
        <v>0</v>
      </c>
      <c r="AG27" s="101">
        <v>0</v>
      </c>
      <c r="AH27" s="101">
        <v>0</v>
      </c>
    </row>
    <row r="28" ht="24" spans="1:34">
      <c r="A28" s="8">
        <f>28-6</f>
        <v>22</v>
      </c>
      <c r="B28" s="94"/>
      <c r="C28" s="94"/>
      <c r="D28" s="94"/>
      <c r="E28" s="94" t="s">
        <v>67</v>
      </c>
      <c r="F28" s="35">
        <f t="shared" si="0"/>
        <v>121.07</v>
      </c>
      <c r="G28" s="35">
        <f t="shared" si="1"/>
        <v>0</v>
      </c>
      <c r="H28" s="35">
        <f t="shared" si="2"/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f t="shared" si="4"/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f t="shared" si="6"/>
        <v>121.07</v>
      </c>
      <c r="V28" s="35">
        <f t="shared" si="7"/>
        <v>28</v>
      </c>
      <c r="W28" s="35">
        <v>28</v>
      </c>
      <c r="X28" s="35">
        <v>0</v>
      </c>
      <c r="Y28" s="35">
        <v>0</v>
      </c>
      <c r="Z28" s="35">
        <v>0</v>
      </c>
      <c r="AA28" s="35">
        <v>0</v>
      </c>
      <c r="AB28" s="35">
        <f t="shared" si="9"/>
        <v>93.07</v>
      </c>
      <c r="AC28" s="35">
        <v>0</v>
      </c>
      <c r="AD28" s="35">
        <v>93.07</v>
      </c>
      <c r="AE28" s="101">
        <v>0</v>
      </c>
      <c r="AF28" s="101">
        <v>0</v>
      </c>
      <c r="AG28" s="101">
        <v>0</v>
      </c>
      <c r="AH28" s="101">
        <v>0</v>
      </c>
    </row>
    <row r="29" ht="48" spans="1:34">
      <c r="A29" s="8">
        <f>29-6</f>
        <v>23</v>
      </c>
      <c r="B29" s="94"/>
      <c r="C29" s="94"/>
      <c r="D29" s="94" t="s">
        <v>135</v>
      </c>
      <c r="E29" s="94"/>
      <c r="F29" s="35">
        <f t="shared" si="0"/>
        <v>142</v>
      </c>
      <c r="G29" s="35">
        <f t="shared" si="1"/>
        <v>0</v>
      </c>
      <c r="H29" s="35">
        <f t="shared" si="2"/>
        <v>0</v>
      </c>
      <c r="I29" s="35">
        <f t="shared" ref="I29:M29" si="49">SUM(I30)</f>
        <v>0</v>
      </c>
      <c r="J29" s="35">
        <f t="shared" si="49"/>
        <v>0</v>
      </c>
      <c r="K29" s="35">
        <f t="shared" si="49"/>
        <v>0</v>
      </c>
      <c r="L29" s="35">
        <f t="shared" si="49"/>
        <v>0</v>
      </c>
      <c r="M29" s="35">
        <f t="shared" si="49"/>
        <v>0</v>
      </c>
      <c r="N29" s="35">
        <f t="shared" si="4"/>
        <v>0</v>
      </c>
      <c r="O29" s="35">
        <f t="shared" ref="O29:T29" si="50">SUM(O30)</f>
        <v>0</v>
      </c>
      <c r="P29" s="35">
        <f t="shared" si="50"/>
        <v>0</v>
      </c>
      <c r="Q29" s="35">
        <f t="shared" si="50"/>
        <v>0</v>
      </c>
      <c r="R29" s="35">
        <f t="shared" si="50"/>
        <v>0</v>
      </c>
      <c r="S29" s="35">
        <f t="shared" si="50"/>
        <v>0</v>
      </c>
      <c r="T29" s="35">
        <f t="shared" si="50"/>
        <v>0</v>
      </c>
      <c r="U29" s="35">
        <f t="shared" si="6"/>
        <v>142</v>
      </c>
      <c r="V29" s="35">
        <f t="shared" si="7"/>
        <v>142</v>
      </c>
      <c r="W29" s="35">
        <f t="shared" ref="W29:AA29" si="51">SUM(W30)</f>
        <v>142</v>
      </c>
      <c r="X29" s="35">
        <f t="shared" si="51"/>
        <v>0</v>
      </c>
      <c r="Y29" s="35">
        <f t="shared" si="51"/>
        <v>0</v>
      </c>
      <c r="Z29" s="35">
        <f t="shared" si="51"/>
        <v>0</v>
      </c>
      <c r="AA29" s="35">
        <f t="shared" si="51"/>
        <v>0</v>
      </c>
      <c r="AB29" s="35">
        <f t="shared" si="9"/>
        <v>0</v>
      </c>
      <c r="AC29" s="35">
        <f t="shared" si="47"/>
        <v>0</v>
      </c>
      <c r="AD29" s="35">
        <f t="shared" si="48"/>
        <v>0</v>
      </c>
      <c r="AE29" s="101">
        <v>0</v>
      </c>
      <c r="AF29" s="101">
        <v>0</v>
      </c>
      <c r="AG29" s="101">
        <v>0</v>
      </c>
      <c r="AH29" s="101">
        <v>0</v>
      </c>
    </row>
    <row r="30" ht="24" spans="1:34">
      <c r="A30" s="8">
        <f>30-6</f>
        <v>24</v>
      </c>
      <c r="B30" s="94"/>
      <c r="C30" s="94"/>
      <c r="D30" s="94"/>
      <c r="E30" s="94" t="s">
        <v>68</v>
      </c>
      <c r="F30" s="35">
        <f t="shared" si="0"/>
        <v>142</v>
      </c>
      <c r="G30" s="35">
        <f t="shared" si="1"/>
        <v>0</v>
      </c>
      <c r="H30" s="35">
        <f t="shared" si="2"/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f t="shared" si="4"/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6"/>
        <v>142</v>
      </c>
      <c r="V30" s="35">
        <f t="shared" si="7"/>
        <v>142</v>
      </c>
      <c r="W30" s="35">
        <v>142</v>
      </c>
      <c r="X30" s="35">
        <v>0</v>
      </c>
      <c r="Y30" s="35">
        <v>0</v>
      </c>
      <c r="Z30" s="35">
        <v>0</v>
      </c>
      <c r="AA30" s="35">
        <v>0</v>
      </c>
      <c r="AB30" s="35">
        <f t="shared" si="9"/>
        <v>0</v>
      </c>
      <c r="AC30" s="35">
        <v>0</v>
      </c>
      <c r="AD30" s="35">
        <v>0</v>
      </c>
      <c r="AE30" s="101">
        <v>0</v>
      </c>
      <c r="AF30" s="101">
        <v>0</v>
      </c>
      <c r="AG30" s="101">
        <v>0</v>
      </c>
      <c r="AH30" s="101">
        <v>0</v>
      </c>
    </row>
    <row r="31" ht="24" spans="1:34">
      <c r="A31" s="8">
        <f>31-6</f>
        <v>25</v>
      </c>
      <c r="B31" s="94"/>
      <c r="C31" s="94" t="s">
        <v>136</v>
      </c>
      <c r="D31" s="94"/>
      <c r="E31" s="94"/>
      <c r="F31" s="35">
        <f t="shared" si="0"/>
        <v>446.53</v>
      </c>
      <c r="G31" s="35">
        <f t="shared" si="1"/>
        <v>248</v>
      </c>
      <c r="H31" s="35">
        <f t="shared" si="2"/>
        <v>248</v>
      </c>
      <c r="I31" s="35">
        <f t="shared" ref="I31:M31" si="52">SUM(I32,I34,I36)</f>
        <v>248</v>
      </c>
      <c r="J31" s="35">
        <f t="shared" si="52"/>
        <v>0</v>
      </c>
      <c r="K31" s="35">
        <f t="shared" si="52"/>
        <v>0</v>
      </c>
      <c r="L31" s="35">
        <f t="shared" si="52"/>
        <v>0</v>
      </c>
      <c r="M31" s="35">
        <f t="shared" si="52"/>
        <v>0</v>
      </c>
      <c r="N31" s="35">
        <f t="shared" si="4"/>
        <v>0</v>
      </c>
      <c r="O31" s="35">
        <f t="shared" ref="O31:T31" si="53">SUM(O32,O34,O36)</f>
        <v>0</v>
      </c>
      <c r="P31" s="35">
        <f t="shared" si="53"/>
        <v>0</v>
      </c>
      <c r="Q31" s="35">
        <f t="shared" si="53"/>
        <v>0</v>
      </c>
      <c r="R31" s="35">
        <f t="shared" si="53"/>
        <v>0</v>
      </c>
      <c r="S31" s="35">
        <f t="shared" si="53"/>
        <v>0</v>
      </c>
      <c r="T31" s="35">
        <f t="shared" si="53"/>
        <v>0</v>
      </c>
      <c r="U31" s="35">
        <f t="shared" si="6"/>
        <v>198.53</v>
      </c>
      <c r="V31" s="35">
        <f t="shared" si="7"/>
        <v>198.53</v>
      </c>
      <c r="W31" s="35">
        <f t="shared" ref="W31:AA31" si="54">SUM(W32,W34,W36)</f>
        <v>198.53</v>
      </c>
      <c r="X31" s="35">
        <f t="shared" si="54"/>
        <v>0</v>
      </c>
      <c r="Y31" s="35">
        <f t="shared" si="54"/>
        <v>0</v>
      </c>
      <c r="Z31" s="35">
        <f t="shared" si="54"/>
        <v>0</v>
      </c>
      <c r="AA31" s="35">
        <f t="shared" si="54"/>
        <v>0</v>
      </c>
      <c r="AB31" s="35">
        <f t="shared" si="9"/>
        <v>0</v>
      </c>
      <c r="AC31" s="35">
        <f>SUM(AC32,AC34,AC36)</f>
        <v>0</v>
      </c>
      <c r="AD31" s="35">
        <f>SUM(AD32,AD34,AD36)</f>
        <v>0</v>
      </c>
      <c r="AE31" s="101">
        <v>0</v>
      </c>
      <c r="AF31" s="101">
        <v>0</v>
      </c>
      <c r="AG31" s="101">
        <v>0</v>
      </c>
      <c r="AH31" s="101">
        <v>0</v>
      </c>
    </row>
    <row r="32" ht="36" spans="1:34">
      <c r="A32" s="8">
        <f>32-6</f>
        <v>26</v>
      </c>
      <c r="B32" s="94"/>
      <c r="C32" s="94"/>
      <c r="D32" s="94" t="s">
        <v>137</v>
      </c>
      <c r="E32" s="94"/>
      <c r="F32" s="35">
        <f t="shared" si="0"/>
        <v>148</v>
      </c>
      <c r="G32" s="35">
        <f t="shared" si="1"/>
        <v>0</v>
      </c>
      <c r="H32" s="35">
        <f t="shared" si="2"/>
        <v>0</v>
      </c>
      <c r="I32" s="35">
        <f t="shared" ref="I32:M32" si="55">SUM(I33)</f>
        <v>0</v>
      </c>
      <c r="J32" s="35">
        <f t="shared" si="55"/>
        <v>0</v>
      </c>
      <c r="K32" s="35">
        <f t="shared" si="55"/>
        <v>0</v>
      </c>
      <c r="L32" s="35">
        <f t="shared" si="55"/>
        <v>0</v>
      </c>
      <c r="M32" s="35">
        <f t="shared" si="55"/>
        <v>0</v>
      </c>
      <c r="N32" s="35">
        <f t="shared" si="4"/>
        <v>0</v>
      </c>
      <c r="O32" s="35">
        <f t="shared" ref="O32:T32" si="56">SUM(O33)</f>
        <v>0</v>
      </c>
      <c r="P32" s="35">
        <f t="shared" si="56"/>
        <v>0</v>
      </c>
      <c r="Q32" s="35">
        <f t="shared" si="56"/>
        <v>0</v>
      </c>
      <c r="R32" s="35">
        <f t="shared" si="56"/>
        <v>0</v>
      </c>
      <c r="S32" s="35">
        <f t="shared" si="56"/>
        <v>0</v>
      </c>
      <c r="T32" s="35">
        <f t="shared" si="56"/>
        <v>0</v>
      </c>
      <c r="U32" s="35">
        <f t="shared" si="6"/>
        <v>148</v>
      </c>
      <c r="V32" s="35">
        <f t="shared" si="7"/>
        <v>148</v>
      </c>
      <c r="W32" s="35">
        <f t="shared" ref="W32:AA32" si="57">SUM(W33)</f>
        <v>148</v>
      </c>
      <c r="X32" s="35">
        <f t="shared" si="57"/>
        <v>0</v>
      </c>
      <c r="Y32" s="35">
        <f t="shared" si="57"/>
        <v>0</v>
      </c>
      <c r="Z32" s="35">
        <f t="shared" si="57"/>
        <v>0</v>
      </c>
      <c r="AA32" s="35">
        <f t="shared" si="57"/>
        <v>0</v>
      </c>
      <c r="AB32" s="35">
        <f t="shared" si="9"/>
        <v>0</v>
      </c>
      <c r="AC32" s="35">
        <f t="shared" si="47"/>
        <v>0</v>
      </c>
      <c r="AD32" s="35">
        <f t="shared" si="48"/>
        <v>0</v>
      </c>
      <c r="AE32" s="101">
        <v>0</v>
      </c>
      <c r="AF32" s="101">
        <v>0</v>
      </c>
      <c r="AG32" s="101">
        <v>0</v>
      </c>
      <c r="AH32" s="101">
        <v>0</v>
      </c>
    </row>
    <row r="33" ht="24" spans="1:34">
      <c r="A33" s="8">
        <f>33-6</f>
        <v>27</v>
      </c>
      <c r="B33" s="94"/>
      <c r="C33" s="94"/>
      <c r="D33" s="94"/>
      <c r="E33" s="94" t="s">
        <v>69</v>
      </c>
      <c r="F33" s="35">
        <f t="shared" si="0"/>
        <v>148</v>
      </c>
      <c r="G33" s="35">
        <f t="shared" si="1"/>
        <v>0</v>
      </c>
      <c r="H33" s="35">
        <f t="shared" si="2"/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f t="shared" si="4"/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f t="shared" si="6"/>
        <v>148</v>
      </c>
      <c r="V33" s="35">
        <f t="shared" si="7"/>
        <v>148</v>
      </c>
      <c r="W33" s="35">
        <v>148</v>
      </c>
      <c r="X33" s="35">
        <v>0</v>
      </c>
      <c r="Y33" s="35">
        <v>0</v>
      </c>
      <c r="Z33" s="35">
        <v>0</v>
      </c>
      <c r="AA33" s="35">
        <v>0</v>
      </c>
      <c r="AB33" s="35">
        <f t="shared" si="9"/>
        <v>0</v>
      </c>
      <c r="AC33" s="35">
        <v>0</v>
      </c>
      <c r="AD33" s="35">
        <v>0</v>
      </c>
      <c r="AE33" s="101">
        <v>0</v>
      </c>
      <c r="AF33" s="101">
        <v>0</v>
      </c>
      <c r="AG33" s="101">
        <v>0</v>
      </c>
      <c r="AH33" s="101">
        <v>0</v>
      </c>
    </row>
    <row r="34" ht="36" spans="1:34">
      <c r="A34" s="8">
        <f>34-6</f>
        <v>28</v>
      </c>
      <c r="B34" s="94"/>
      <c r="C34" s="94"/>
      <c r="D34" s="94" t="s">
        <v>138</v>
      </c>
      <c r="E34" s="94"/>
      <c r="F34" s="35">
        <f t="shared" si="0"/>
        <v>50.53</v>
      </c>
      <c r="G34" s="35">
        <f t="shared" si="1"/>
        <v>0</v>
      </c>
      <c r="H34" s="35">
        <f t="shared" si="2"/>
        <v>0</v>
      </c>
      <c r="I34" s="35">
        <f t="shared" ref="I34:M34" si="58">SUM(I35)</f>
        <v>0</v>
      </c>
      <c r="J34" s="35">
        <f t="shared" si="58"/>
        <v>0</v>
      </c>
      <c r="K34" s="35">
        <f t="shared" si="58"/>
        <v>0</v>
      </c>
      <c r="L34" s="35">
        <f t="shared" si="58"/>
        <v>0</v>
      </c>
      <c r="M34" s="35">
        <f t="shared" si="58"/>
        <v>0</v>
      </c>
      <c r="N34" s="35">
        <f t="shared" si="4"/>
        <v>0</v>
      </c>
      <c r="O34" s="35">
        <f t="shared" ref="O34:T34" si="59">SUM(O35)</f>
        <v>0</v>
      </c>
      <c r="P34" s="35">
        <f t="shared" si="59"/>
        <v>0</v>
      </c>
      <c r="Q34" s="35">
        <f t="shared" si="59"/>
        <v>0</v>
      </c>
      <c r="R34" s="35">
        <f t="shared" si="59"/>
        <v>0</v>
      </c>
      <c r="S34" s="35">
        <f t="shared" si="59"/>
        <v>0</v>
      </c>
      <c r="T34" s="35">
        <f t="shared" si="59"/>
        <v>0</v>
      </c>
      <c r="U34" s="35">
        <f t="shared" si="6"/>
        <v>50.53</v>
      </c>
      <c r="V34" s="35">
        <f t="shared" si="7"/>
        <v>50.53</v>
      </c>
      <c r="W34" s="35">
        <f t="shared" ref="W34:AA34" si="60">SUM(W35)</f>
        <v>50.53</v>
      </c>
      <c r="X34" s="35">
        <f t="shared" si="60"/>
        <v>0</v>
      </c>
      <c r="Y34" s="35">
        <f t="shared" si="60"/>
        <v>0</v>
      </c>
      <c r="Z34" s="35">
        <f t="shared" si="60"/>
        <v>0</v>
      </c>
      <c r="AA34" s="35">
        <f t="shared" si="60"/>
        <v>0</v>
      </c>
      <c r="AB34" s="35">
        <f t="shared" si="9"/>
        <v>0</v>
      </c>
      <c r="AC34" s="35">
        <f>SUM(AC35)</f>
        <v>0</v>
      </c>
      <c r="AD34" s="35">
        <f>SUM(AD35)</f>
        <v>0</v>
      </c>
      <c r="AE34" s="101">
        <v>0</v>
      </c>
      <c r="AF34" s="101">
        <v>0</v>
      </c>
      <c r="AG34" s="101">
        <v>0</v>
      </c>
      <c r="AH34" s="101">
        <v>0</v>
      </c>
    </row>
    <row r="35" ht="24" spans="1:34">
      <c r="A35" s="8">
        <f>35-6</f>
        <v>29</v>
      </c>
      <c r="B35" s="94"/>
      <c r="C35" s="94"/>
      <c r="D35" s="94"/>
      <c r="E35" s="94" t="s">
        <v>70</v>
      </c>
      <c r="F35" s="35">
        <f t="shared" si="0"/>
        <v>50.53</v>
      </c>
      <c r="G35" s="35">
        <f t="shared" si="1"/>
        <v>0</v>
      </c>
      <c r="H35" s="35">
        <f t="shared" si="2"/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f t="shared" si="4"/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f t="shared" si="6"/>
        <v>50.53</v>
      </c>
      <c r="V35" s="35">
        <f t="shared" si="7"/>
        <v>50.53</v>
      </c>
      <c r="W35" s="35">
        <v>50.53</v>
      </c>
      <c r="X35" s="35">
        <v>0</v>
      </c>
      <c r="Y35" s="35">
        <v>0</v>
      </c>
      <c r="Z35" s="35">
        <v>0</v>
      </c>
      <c r="AA35" s="35">
        <v>0</v>
      </c>
      <c r="AB35" s="35">
        <f t="shared" si="9"/>
        <v>0</v>
      </c>
      <c r="AC35" s="35">
        <v>0</v>
      </c>
      <c r="AD35" s="35">
        <v>0</v>
      </c>
      <c r="AE35" s="101">
        <v>0</v>
      </c>
      <c r="AF35" s="101">
        <v>0</v>
      </c>
      <c r="AG35" s="101">
        <v>0</v>
      </c>
      <c r="AH35" s="101">
        <v>0</v>
      </c>
    </row>
    <row r="36" ht="36" spans="1:34">
      <c r="A36" s="8">
        <f>36-6</f>
        <v>30</v>
      </c>
      <c r="B36" s="94"/>
      <c r="C36" s="94"/>
      <c r="D36" s="94" t="s">
        <v>139</v>
      </c>
      <c r="E36" s="94"/>
      <c r="F36" s="35">
        <f t="shared" si="0"/>
        <v>248</v>
      </c>
      <c r="G36" s="35">
        <f t="shared" si="1"/>
        <v>248</v>
      </c>
      <c r="H36" s="35">
        <f t="shared" si="2"/>
        <v>248</v>
      </c>
      <c r="I36" s="35">
        <f t="shared" ref="I36:M36" si="61">SUM(I37:I38)</f>
        <v>248</v>
      </c>
      <c r="J36" s="35">
        <f t="shared" si="61"/>
        <v>0</v>
      </c>
      <c r="K36" s="35">
        <f t="shared" si="61"/>
        <v>0</v>
      </c>
      <c r="L36" s="35">
        <f t="shared" si="61"/>
        <v>0</v>
      </c>
      <c r="M36" s="35">
        <f t="shared" si="61"/>
        <v>0</v>
      </c>
      <c r="N36" s="35">
        <f t="shared" si="4"/>
        <v>0</v>
      </c>
      <c r="O36" s="35">
        <f t="shared" ref="O36:T36" si="62">SUM(O37:O38)</f>
        <v>0</v>
      </c>
      <c r="P36" s="35">
        <f t="shared" si="62"/>
        <v>0</v>
      </c>
      <c r="Q36" s="35">
        <f t="shared" si="62"/>
        <v>0</v>
      </c>
      <c r="R36" s="35">
        <f t="shared" si="62"/>
        <v>0</v>
      </c>
      <c r="S36" s="35">
        <f t="shared" si="62"/>
        <v>0</v>
      </c>
      <c r="T36" s="35">
        <f t="shared" si="62"/>
        <v>0</v>
      </c>
      <c r="U36" s="35">
        <f t="shared" si="6"/>
        <v>0</v>
      </c>
      <c r="V36" s="35">
        <f t="shared" si="7"/>
        <v>0</v>
      </c>
      <c r="W36" s="35">
        <f t="shared" ref="W36:AA36" si="63">SUM(W37:W38)</f>
        <v>0</v>
      </c>
      <c r="X36" s="35">
        <f t="shared" si="63"/>
        <v>0</v>
      </c>
      <c r="Y36" s="35">
        <f t="shared" si="63"/>
        <v>0</v>
      </c>
      <c r="Z36" s="35">
        <f t="shared" si="63"/>
        <v>0</v>
      </c>
      <c r="AA36" s="35">
        <f t="shared" si="63"/>
        <v>0</v>
      </c>
      <c r="AB36" s="35">
        <f t="shared" si="9"/>
        <v>0</v>
      </c>
      <c r="AC36" s="35">
        <f>SUM(AC37:AC38)</f>
        <v>0</v>
      </c>
      <c r="AD36" s="35">
        <f>SUM(AD37:AD38)</f>
        <v>0</v>
      </c>
      <c r="AE36" s="101">
        <v>0</v>
      </c>
      <c r="AF36" s="101">
        <v>0</v>
      </c>
      <c r="AG36" s="101">
        <v>0</v>
      </c>
      <c r="AH36" s="101">
        <v>0</v>
      </c>
    </row>
    <row r="37" spans="1:34">
      <c r="A37" s="8">
        <f>37-6</f>
        <v>31</v>
      </c>
      <c r="B37" s="94"/>
      <c r="C37" s="94"/>
      <c r="D37" s="94"/>
      <c r="E37" s="94" t="s">
        <v>71</v>
      </c>
      <c r="F37" s="35">
        <f t="shared" si="0"/>
        <v>205.5</v>
      </c>
      <c r="G37" s="35">
        <f t="shared" si="1"/>
        <v>205.5</v>
      </c>
      <c r="H37" s="35">
        <f t="shared" si="2"/>
        <v>205.5</v>
      </c>
      <c r="I37" s="35">
        <v>205.5</v>
      </c>
      <c r="J37" s="35">
        <v>0</v>
      </c>
      <c r="K37" s="35">
        <v>0</v>
      </c>
      <c r="L37" s="35">
        <v>0</v>
      </c>
      <c r="M37" s="35">
        <v>0</v>
      </c>
      <c r="N37" s="35">
        <f t="shared" si="4"/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f t="shared" si="6"/>
        <v>0</v>
      </c>
      <c r="V37" s="35">
        <f t="shared" si="7"/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f t="shared" si="9"/>
        <v>0</v>
      </c>
      <c r="AC37" s="35">
        <v>0</v>
      </c>
      <c r="AD37" s="35">
        <v>0</v>
      </c>
      <c r="AE37" s="101">
        <v>0</v>
      </c>
      <c r="AF37" s="101">
        <v>0</v>
      </c>
      <c r="AG37" s="101">
        <v>0</v>
      </c>
      <c r="AH37" s="101">
        <v>0</v>
      </c>
    </row>
    <row r="38" spans="1:34">
      <c r="A38" s="8">
        <f>38-6</f>
        <v>32</v>
      </c>
      <c r="B38" s="94"/>
      <c r="C38" s="94"/>
      <c r="D38" s="94"/>
      <c r="E38" s="94" t="s">
        <v>72</v>
      </c>
      <c r="F38" s="35">
        <f t="shared" si="0"/>
        <v>42.5</v>
      </c>
      <c r="G38" s="35">
        <f t="shared" si="1"/>
        <v>42.5</v>
      </c>
      <c r="H38" s="35">
        <f t="shared" si="2"/>
        <v>42.5</v>
      </c>
      <c r="I38" s="35">
        <v>42.5</v>
      </c>
      <c r="J38" s="35">
        <v>0</v>
      </c>
      <c r="K38" s="35">
        <v>0</v>
      </c>
      <c r="L38" s="35">
        <v>0</v>
      </c>
      <c r="M38" s="35">
        <v>0</v>
      </c>
      <c r="N38" s="35">
        <f t="shared" si="4"/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f t="shared" si="6"/>
        <v>0</v>
      </c>
      <c r="V38" s="35">
        <f t="shared" si="7"/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f t="shared" si="9"/>
        <v>0</v>
      </c>
      <c r="AC38" s="35">
        <v>0</v>
      </c>
      <c r="AD38" s="35">
        <v>0</v>
      </c>
      <c r="AE38" s="101">
        <v>0</v>
      </c>
      <c r="AF38" s="101">
        <v>0</v>
      </c>
      <c r="AG38" s="101">
        <v>0</v>
      </c>
      <c r="AH38" s="101">
        <v>0</v>
      </c>
    </row>
    <row r="39" ht="24" spans="1:34">
      <c r="A39" s="8">
        <f>39-6</f>
        <v>33</v>
      </c>
      <c r="B39" s="94"/>
      <c r="C39" s="94" t="s">
        <v>140</v>
      </c>
      <c r="D39" s="94"/>
      <c r="E39" s="94"/>
      <c r="F39" s="35">
        <f t="shared" si="0"/>
        <v>20355.609998</v>
      </c>
      <c r="G39" s="35">
        <f t="shared" si="1"/>
        <v>4512.219998</v>
      </c>
      <c r="H39" s="35">
        <f t="shared" si="2"/>
        <v>4512.219998</v>
      </c>
      <c r="I39" s="35">
        <f t="shared" ref="I39:M39" si="64">SUM(I40)</f>
        <v>4512.219998</v>
      </c>
      <c r="J39" s="35">
        <f t="shared" si="64"/>
        <v>0</v>
      </c>
      <c r="K39" s="35">
        <f t="shared" si="64"/>
        <v>0</v>
      </c>
      <c r="L39" s="35">
        <f t="shared" si="64"/>
        <v>0</v>
      </c>
      <c r="M39" s="35">
        <f t="shared" si="64"/>
        <v>0</v>
      </c>
      <c r="N39" s="35">
        <f t="shared" si="4"/>
        <v>0</v>
      </c>
      <c r="O39" s="35">
        <f t="shared" ref="O39:T39" si="65">SUM(O40)</f>
        <v>0</v>
      </c>
      <c r="P39" s="35">
        <f t="shared" si="65"/>
        <v>0</v>
      </c>
      <c r="Q39" s="35">
        <f t="shared" si="65"/>
        <v>0</v>
      </c>
      <c r="R39" s="35">
        <f t="shared" si="65"/>
        <v>0</v>
      </c>
      <c r="S39" s="35">
        <f t="shared" si="65"/>
        <v>0</v>
      </c>
      <c r="T39" s="35">
        <f t="shared" si="65"/>
        <v>0</v>
      </c>
      <c r="U39" s="35">
        <f t="shared" si="6"/>
        <v>15843.39</v>
      </c>
      <c r="V39" s="35">
        <f t="shared" si="7"/>
        <v>15843.39</v>
      </c>
      <c r="W39" s="35">
        <f t="shared" ref="W39:AA39" si="66">SUM(W40)</f>
        <v>15843.39</v>
      </c>
      <c r="X39" s="35">
        <f t="shared" si="66"/>
        <v>0</v>
      </c>
      <c r="Y39" s="35">
        <f t="shared" si="66"/>
        <v>0</v>
      </c>
      <c r="Z39" s="35">
        <f t="shared" si="66"/>
        <v>0</v>
      </c>
      <c r="AA39" s="35">
        <f t="shared" si="66"/>
        <v>0</v>
      </c>
      <c r="AB39" s="35">
        <f t="shared" si="9"/>
        <v>0</v>
      </c>
      <c r="AC39" s="35">
        <f>SUM(AC40)</f>
        <v>0</v>
      </c>
      <c r="AD39" s="35">
        <f>SUM(AD40)</f>
        <v>0</v>
      </c>
      <c r="AE39" s="101">
        <v>0</v>
      </c>
      <c r="AF39" s="101">
        <v>0</v>
      </c>
      <c r="AG39" s="101">
        <v>0</v>
      </c>
      <c r="AH39" s="101">
        <v>0</v>
      </c>
    </row>
    <row r="40" ht="36" spans="1:34">
      <c r="A40" s="8">
        <f>40-6</f>
        <v>34</v>
      </c>
      <c r="B40" s="94"/>
      <c r="C40" s="94"/>
      <c r="D40" s="94" t="s">
        <v>141</v>
      </c>
      <c r="E40" s="94"/>
      <c r="F40" s="35">
        <f t="shared" si="0"/>
        <v>20355.609998</v>
      </c>
      <c r="G40" s="35">
        <f t="shared" si="1"/>
        <v>4512.219998</v>
      </c>
      <c r="H40" s="35">
        <f t="shared" si="2"/>
        <v>4512.219998</v>
      </c>
      <c r="I40" s="35">
        <f t="shared" ref="I40:M40" si="67">SUM(I41:I43)</f>
        <v>4512.219998</v>
      </c>
      <c r="J40" s="35">
        <f t="shared" si="67"/>
        <v>0</v>
      </c>
      <c r="K40" s="35">
        <f t="shared" si="67"/>
        <v>0</v>
      </c>
      <c r="L40" s="35">
        <f t="shared" si="67"/>
        <v>0</v>
      </c>
      <c r="M40" s="35">
        <f t="shared" si="67"/>
        <v>0</v>
      </c>
      <c r="N40" s="35">
        <f t="shared" si="4"/>
        <v>0</v>
      </c>
      <c r="O40" s="35">
        <f t="shared" ref="O40:T40" si="68">SUM(O41:O43)</f>
        <v>0</v>
      </c>
      <c r="P40" s="35">
        <f t="shared" si="68"/>
        <v>0</v>
      </c>
      <c r="Q40" s="35">
        <f t="shared" si="68"/>
        <v>0</v>
      </c>
      <c r="R40" s="35">
        <f t="shared" si="68"/>
        <v>0</v>
      </c>
      <c r="S40" s="35">
        <f t="shared" si="68"/>
        <v>0</v>
      </c>
      <c r="T40" s="35">
        <f t="shared" si="68"/>
        <v>0</v>
      </c>
      <c r="U40" s="35">
        <f t="shared" si="6"/>
        <v>15843.39</v>
      </c>
      <c r="V40" s="35">
        <f t="shared" si="7"/>
        <v>15843.39</v>
      </c>
      <c r="W40" s="35">
        <f t="shared" ref="W40:AA40" si="69">SUM(W41:W43)</f>
        <v>15843.39</v>
      </c>
      <c r="X40" s="35">
        <f t="shared" si="69"/>
        <v>0</v>
      </c>
      <c r="Y40" s="35">
        <f t="shared" si="69"/>
        <v>0</v>
      </c>
      <c r="Z40" s="35">
        <f t="shared" si="69"/>
        <v>0</v>
      </c>
      <c r="AA40" s="35">
        <f t="shared" si="69"/>
        <v>0</v>
      </c>
      <c r="AB40" s="35">
        <f t="shared" si="9"/>
        <v>0</v>
      </c>
      <c r="AC40" s="35">
        <f>SUM(AC41:AC43)</f>
        <v>0</v>
      </c>
      <c r="AD40" s="35">
        <f>SUM(AD41:AD43)</f>
        <v>0</v>
      </c>
      <c r="AE40" s="101">
        <v>0</v>
      </c>
      <c r="AF40" s="101">
        <v>0</v>
      </c>
      <c r="AG40" s="101">
        <v>0</v>
      </c>
      <c r="AH40" s="101">
        <v>0</v>
      </c>
    </row>
    <row r="41" spans="1:34">
      <c r="A41" s="8">
        <f>41-6</f>
        <v>35</v>
      </c>
      <c r="B41" s="94"/>
      <c r="C41" s="94"/>
      <c r="D41" s="94"/>
      <c r="E41" s="94" t="s">
        <v>73</v>
      </c>
      <c r="F41" s="35">
        <f t="shared" si="0"/>
        <v>3524.062998</v>
      </c>
      <c r="G41" s="35">
        <f t="shared" si="1"/>
        <v>3524.062998</v>
      </c>
      <c r="H41" s="35">
        <f t="shared" si="2"/>
        <v>3524.062998</v>
      </c>
      <c r="I41" s="35">
        <v>3524.062998</v>
      </c>
      <c r="J41" s="35">
        <v>0</v>
      </c>
      <c r="K41" s="35">
        <v>0</v>
      </c>
      <c r="L41" s="35">
        <v>0</v>
      </c>
      <c r="M41" s="35">
        <v>0</v>
      </c>
      <c r="N41" s="35">
        <f t="shared" si="4"/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f t="shared" si="6"/>
        <v>0</v>
      </c>
      <c r="V41" s="35">
        <f t="shared" si="7"/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f t="shared" si="9"/>
        <v>0</v>
      </c>
      <c r="AC41" s="35">
        <v>0</v>
      </c>
      <c r="AD41" s="35">
        <v>0</v>
      </c>
      <c r="AE41" s="101">
        <v>0</v>
      </c>
      <c r="AF41" s="101">
        <v>0</v>
      </c>
      <c r="AG41" s="101">
        <v>0</v>
      </c>
      <c r="AH41" s="101">
        <v>0</v>
      </c>
    </row>
    <row r="42" spans="1:34">
      <c r="A42" s="8">
        <f>42-6</f>
        <v>36</v>
      </c>
      <c r="B42" s="94"/>
      <c r="C42" s="94"/>
      <c r="D42" s="94"/>
      <c r="E42" s="94" t="s">
        <v>74</v>
      </c>
      <c r="F42" s="35">
        <f t="shared" si="0"/>
        <v>1049.557</v>
      </c>
      <c r="G42" s="35">
        <f t="shared" si="1"/>
        <v>988.157</v>
      </c>
      <c r="H42" s="35">
        <f t="shared" si="2"/>
        <v>988.157</v>
      </c>
      <c r="I42" s="35">
        <v>988.157</v>
      </c>
      <c r="J42" s="35">
        <v>0</v>
      </c>
      <c r="K42" s="35">
        <v>0</v>
      </c>
      <c r="L42" s="35">
        <v>0</v>
      </c>
      <c r="M42" s="35">
        <v>0</v>
      </c>
      <c r="N42" s="35">
        <f t="shared" si="4"/>
        <v>0</v>
      </c>
      <c r="O42" s="35">
        <v>0</v>
      </c>
      <c r="P42" s="35">
        <v>0</v>
      </c>
      <c r="Q42" s="35">
        <v>0</v>
      </c>
      <c r="R42" s="35">
        <v>0</v>
      </c>
      <c r="S42" s="35">
        <v>0</v>
      </c>
      <c r="T42" s="35">
        <v>0</v>
      </c>
      <c r="U42" s="35">
        <f t="shared" si="6"/>
        <v>61.4</v>
      </c>
      <c r="V42" s="35">
        <f t="shared" si="7"/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f t="shared" si="9"/>
        <v>61.4</v>
      </c>
      <c r="AC42" s="35">
        <v>0</v>
      </c>
      <c r="AD42" s="35">
        <v>0</v>
      </c>
      <c r="AE42" s="101">
        <v>0</v>
      </c>
      <c r="AF42" s="101">
        <v>0</v>
      </c>
      <c r="AG42" s="101">
        <v>61.4</v>
      </c>
      <c r="AH42" s="101">
        <v>0</v>
      </c>
    </row>
    <row r="43" ht="24" spans="1:34">
      <c r="A43" s="8">
        <f>43-6</f>
        <v>37</v>
      </c>
      <c r="B43" s="94"/>
      <c r="C43" s="94"/>
      <c r="D43" s="94"/>
      <c r="E43" s="94" t="s">
        <v>75</v>
      </c>
      <c r="F43" s="35">
        <f t="shared" si="0"/>
        <v>15904.79</v>
      </c>
      <c r="G43" s="35">
        <f t="shared" si="1"/>
        <v>0</v>
      </c>
      <c r="H43" s="35">
        <f t="shared" si="2"/>
        <v>0</v>
      </c>
      <c r="I43" s="35">
        <v>0</v>
      </c>
      <c r="J43" s="35">
        <v>0</v>
      </c>
      <c r="K43" s="35">
        <v>0</v>
      </c>
      <c r="L43" s="35">
        <v>0</v>
      </c>
      <c r="M43" s="35">
        <v>0</v>
      </c>
      <c r="N43" s="35">
        <f t="shared" si="4"/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f t="shared" si="6"/>
        <v>15904.79</v>
      </c>
      <c r="V43" s="35">
        <f t="shared" si="7"/>
        <v>15843.39</v>
      </c>
      <c r="W43" s="35">
        <v>15843.39</v>
      </c>
      <c r="X43" s="35">
        <v>0</v>
      </c>
      <c r="Y43" s="35">
        <v>0</v>
      </c>
      <c r="Z43" s="35">
        <v>0</v>
      </c>
      <c r="AA43" s="35">
        <v>0</v>
      </c>
      <c r="AB43" s="35">
        <f t="shared" si="9"/>
        <v>61.4</v>
      </c>
      <c r="AC43" s="35">
        <v>0</v>
      </c>
      <c r="AD43" s="35">
        <v>0</v>
      </c>
      <c r="AE43" s="101">
        <v>0</v>
      </c>
      <c r="AF43" s="101">
        <v>0</v>
      </c>
      <c r="AG43" s="101">
        <v>61.4</v>
      </c>
      <c r="AH43" s="101">
        <v>0</v>
      </c>
    </row>
    <row r="44" ht="36" spans="1:34">
      <c r="A44" s="8">
        <f>44-6</f>
        <v>38</v>
      </c>
      <c r="B44" s="94"/>
      <c r="C44" s="94" t="s">
        <v>142</v>
      </c>
      <c r="D44" s="94"/>
      <c r="E44" s="94"/>
      <c r="F44" s="35">
        <f t="shared" si="0"/>
        <v>253</v>
      </c>
      <c r="G44" s="35">
        <f t="shared" si="1"/>
        <v>0</v>
      </c>
      <c r="H44" s="35">
        <f t="shared" si="2"/>
        <v>0</v>
      </c>
      <c r="I44" s="35">
        <f t="shared" ref="I44:M44" si="70">SUM(I45)</f>
        <v>0</v>
      </c>
      <c r="J44" s="35">
        <f t="shared" si="70"/>
        <v>0</v>
      </c>
      <c r="K44" s="35">
        <f t="shared" si="70"/>
        <v>0</v>
      </c>
      <c r="L44" s="35">
        <f t="shared" si="70"/>
        <v>0</v>
      </c>
      <c r="M44" s="35">
        <f t="shared" si="70"/>
        <v>0</v>
      </c>
      <c r="N44" s="35">
        <f t="shared" si="4"/>
        <v>0</v>
      </c>
      <c r="O44" s="35">
        <f t="shared" ref="O44:T44" si="71">SUM(O45)</f>
        <v>0</v>
      </c>
      <c r="P44" s="35">
        <f t="shared" si="71"/>
        <v>0</v>
      </c>
      <c r="Q44" s="35">
        <f t="shared" si="71"/>
        <v>0</v>
      </c>
      <c r="R44" s="35">
        <f t="shared" si="71"/>
        <v>0</v>
      </c>
      <c r="S44" s="35">
        <f t="shared" si="71"/>
        <v>0</v>
      </c>
      <c r="T44" s="35">
        <f t="shared" si="71"/>
        <v>0</v>
      </c>
      <c r="U44" s="35">
        <f t="shared" si="6"/>
        <v>253</v>
      </c>
      <c r="V44" s="35">
        <f t="shared" si="7"/>
        <v>253</v>
      </c>
      <c r="W44" s="35">
        <f t="shared" ref="W44:AA44" si="72">SUM(W45)</f>
        <v>253</v>
      </c>
      <c r="X44" s="35">
        <f t="shared" si="72"/>
        <v>0</v>
      </c>
      <c r="Y44" s="35">
        <f t="shared" si="72"/>
        <v>0</v>
      </c>
      <c r="Z44" s="35">
        <f t="shared" si="72"/>
        <v>0</v>
      </c>
      <c r="AA44" s="35">
        <f t="shared" si="72"/>
        <v>0</v>
      </c>
      <c r="AB44" s="35">
        <f t="shared" si="9"/>
        <v>0</v>
      </c>
      <c r="AC44" s="35">
        <f t="shared" ref="AC44:AC47" si="73">SUM(AC45)</f>
        <v>0</v>
      </c>
      <c r="AD44" s="35">
        <f t="shared" ref="AD44:AD47" si="74">SUM(AD45)</f>
        <v>0</v>
      </c>
      <c r="AE44" s="101">
        <v>0</v>
      </c>
      <c r="AF44" s="101">
        <v>0</v>
      </c>
      <c r="AG44" s="101">
        <v>0</v>
      </c>
      <c r="AH44" s="101">
        <v>0</v>
      </c>
    </row>
    <row r="45" ht="60" spans="1:34">
      <c r="A45" s="8">
        <f>45-6</f>
        <v>39</v>
      </c>
      <c r="B45" s="94"/>
      <c r="C45" s="94"/>
      <c r="D45" s="94" t="s">
        <v>143</v>
      </c>
      <c r="E45" s="94"/>
      <c r="F45" s="35">
        <f t="shared" si="0"/>
        <v>253</v>
      </c>
      <c r="G45" s="35">
        <f t="shared" si="1"/>
        <v>0</v>
      </c>
      <c r="H45" s="35">
        <f t="shared" si="2"/>
        <v>0</v>
      </c>
      <c r="I45" s="35">
        <f t="shared" ref="I45:M45" si="75">SUM(I46)</f>
        <v>0</v>
      </c>
      <c r="J45" s="35">
        <f t="shared" si="75"/>
        <v>0</v>
      </c>
      <c r="K45" s="35">
        <f t="shared" si="75"/>
        <v>0</v>
      </c>
      <c r="L45" s="35">
        <f t="shared" si="75"/>
        <v>0</v>
      </c>
      <c r="M45" s="35">
        <f t="shared" si="75"/>
        <v>0</v>
      </c>
      <c r="N45" s="35">
        <f t="shared" si="4"/>
        <v>0</v>
      </c>
      <c r="O45" s="35">
        <f t="shared" ref="O45:T45" si="76">SUM(O46)</f>
        <v>0</v>
      </c>
      <c r="P45" s="35">
        <f t="shared" si="76"/>
        <v>0</v>
      </c>
      <c r="Q45" s="35">
        <f t="shared" si="76"/>
        <v>0</v>
      </c>
      <c r="R45" s="35">
        <f t="shared" si="76"/>
        <v>0</v>
      </c>
      <c r="S45" s="35">
        <f t="shared" si="76"/>
        <v>0</v>
      </c>
      <c r="T45" s="35">
        <f t="shared" si="76"/>
        <v>0</v>
      </c>
      <c r="U45" s="35">
        <f t="shared" si="6"/>
        <v>253</v>
      </c>
      <c r="V45" s="35">
        <f t="shared" si="7"/>
        <v>253</v>
      </c>
      <c r="W45" s="35">
        <f t="shared" ref="W45:AA45" si="77">SUM(W46)</f>
        <v>253</v>
      </c>
      <c r="X45" s="35">
        <f t="shared" si="77"/>
        <v>0</v>
      </c>
      <c r="Y45" s="35">
        <f t="shared" si="77"/>
        <v>0</v>
      </c>
      <c r="Z45" s="35">
        <f t="shared" si="77"/>
        <v>0</v>
      </c>
      <c r="AA45" s="35">
        <f t="shared" si="77"/>
        <v>0</v>
      </c>
      <c r="AB45" s="35">
        <f t="shared" si="9"/>
        <v>0</v>
      </c>
      <c r="AC45" s="35">
        <f t="shared" si="73"/>
        <v>0</v>
      </c>
      <c r="AD45" s="35">
        <f t="shared" si="74"/>
        <v>0</v>
      </c>
      <c r="AE45" s="101">
        <v>0</v>
      </c>
      <c r="AF45" s="101">
        <v>0</v>
      </c>
      <c r="AG45" s="101">
        <v>0</v>
      </c>
      <c r="AH45" s="101">
        <v>0</v>
      </c>
    </row>
    <row r="46" ht="24" spans="1:34">
      <c r="A46" s="8">
        <f>46-6</f>
        <v>40</v>
      </c>
      <c r="B46" s="94"/>
      <c r="C46" s="94"/>
      <c r="D46" s="94"/>
      <c r="E46" s="94" t="s">
        <v>76</v>
      </c>
      <c r="F46" s="35">
        <f t="shared" si="0"/>
        <v>314.4</v>
      </c>
      <c r="G46" s="35">
        <f t="shared" si="1"/>
        <v>0</v>
      </c>
      <c r="H46" s="35">
        <f t="shared" si="2"/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f t="shared" si="4"/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f t="shared" si="6"/>
        <v>314.4</v>
      </c>
      <c r="V46" s="35">
        <f t="shared" si="7"/>
        <v>253</v>
      </c>
      <c r="W46" s="35">
        <v>253</v>
      </c>
      <c r="X46" s="35">
        <v>0</v>
      </c>
      <c r="Y46" s="35">
        <v>0</v>
      </c>
      <c r="Z46" s="35">
        <v>0</v>
      </c>
      <c r="AA46" s="35">
        <v>0</v>
      </c>
      <c r="AB46" s="35">
        <f t="shared" si="9"/>
        <v>61.4</v>
      </c>
      <c r="AC46" s="35">
        <v>0</v>
      </c>
      <c r="AD46" s="35">
        <v>0</v>
      </c>
      <c r="AE46" s="101">
        <v>0</v>
      </c>
      <c r="AF46" s="101">
        <v>0</v>
      </c>
      <c r="AG46" s="101">
        <v>61.4</v>
      </c>
      <c r="AH46" s="101">
        <v>0</v>
      </c>
    </row>
    <row r="47" ht="24" spans="1:34">
      <c r="A47" s="8">
        <f>47-6</f>
        <v>41</v>
      </c>
      <c r="B47" s="94"/>
      <c r="C47" s="94" t="s">
        <v>144</v>
      </c>
      <c r="D47" s="94"/>
      <c r="E47" s="94"/>
      <c r="F47" s="35">
        <f t="shared" si="0"/>
        <v>764.24</v>
      </c>
      <c r="G47" s="35">
        <f t="shared" si="1"/>
        <v>764.24</v>
      </c>
      <c r="H47" s="35">
        <f t="shared" si="2"/>
        <v>764.24</v>
      </c>
      <c r="I47" s="35">
        <f t="shared" ref="I47:M47" si="78">SUM(I48)</f>
        <v>764.24</v>
      </c>
      <c r="J47" s="35">
        <f t="shared" si="78"/>
        <v>0</v>
      </c>
      <c r="K47" s="35">
        <f t="shared" si="78"/>
        <v>0</v>
      </c>
      <c r="L47" s="35">
        <f t="shared" si="78"/>
        <v>0</v>
      </c>
      <c r="M47" s="35">
        <f t="shared" si="78"/>
        <v>0</v>
      </c>
      <c r="N47" s="35">
        <f t="shared" si="4"/>
        <v>0</v>
      </c>
      <c r="O47" s="35">
        <f t="shared" ref="O47:T47" si="79">SUM(O48)</f>
        <v>0</v>
      </c>
      <c r="P47" s="35">
        <f t="shared" si="79"/>
        <v>0</v>
      </c>
      <c r="Q47" s="35">
        <f t="shared" si="79"/>
        <v>0</v>
      </c>
      <c r="R47" s="35">
        <f t="shared" si="79"/>
        <v>0</v>
      </c>
      <c r="S47" s="35">
        <f t="shared" si="79"/>
        <v>0</v>
      </c>
      <c r="T47" s="35">
        <f t="shared" si="79"/>
        <v>0</v>
      </c>
      <c r="U47" s="35">
        <f t="shared" si="6"/>
        <v>0</v>
      </c>
      <c r="V47" s="35">
        <f t="shared" si="7"/>
        <v>0</v>
      </c>
      <c r="W47" s="35">
        <f t="shared" ref="W47:AA47" si="80">SUM(W48)</f>
        <v>0</v>
      </c>
      <c r="X47" s="35">
        <f t="shared" si="80"/>
        <v>0</v>
      </c>
      <c r="Y47" s="35">
        <f t="shared" si="80"/>
        <v>0</v>
      </c>
      <c r="Z47" s="35">
        <f t="shared" si="80"/>
        <v>0</v>
      </c>
      <c r="AA47" s="35">
        <f t="shared" si="80"/>
        <v>0</v>
      </c>
      <c r="AB47" s="35">
        <f t="shared" si="9"/>
        <v>0</v>
      </c>
      <c r="AC47" s="35">
        <f t="shared" si="73"/>
        <v>0</v>
      </c>
      <c r="AD47" s="35">
        <f t="shared" si="74"/>
        <v>0</v>
      </c>
      <c r="AE47" s="101">
        <v>0</v>
      </c>
      <c r="AF47" s="101">
        <v>0</v>
      </c>
      <c r="AG47" s="101">
        <v>0</v>
      </c>
      <c r="AH47" s="101">
        <v>0</v>
      </c>
    </row>
    <row r="48" ht="36" spans="1:34">
      <c r="A48" s="8">
        <f>48-6</f>
        <v>42</v>
      </c>
      <c r="B48" s="94"/>
      <c r="C48" s="94"/>
      <c r="D48" s="94" t="s">
        <v>145</v>
      </c>
      <c r="E48" s="94"/>
      <c r="F48" s="35">
        <f t="shared" si="0"/>
        <v>764.24</v>
      </c>
      <c r="G48" s="35">
        <f t="shared" si="1"/>
        <v>764.24</v>
      </c>
      <c r="H48" s="35">
        <f t="shared" si="2"/>
        <v>764.24</v>
      </c>
      <c r="I48" s="35">
        <f t="shared" ref="I48:M48" si="81">SUM(I49:I50)</f>
        <v>764.24</v>
      </c>
      <c r="J48" s="35">
        <f t="shared" si="81"/>
        <v>0</v>
      </c>
      <c r="K48" s="35">
        <f t="shared" si="81"/>
        <v>0</v>
      </c>
      <c r="L48" s="35">
        <f t="shared" si="81"/>
        <v>0</v>
      </c>
      <c r="M48" s="35">
        <f t="shared" si="81"/>
        <v>0</v>
      </c>
      <c r="N48" s="35">
        <f t="shared" si="4"/>
        <v>0</v>
      </c>
      <c r="O48" s="35">
        <f t="shared" ref="O48:T48" si="82">SUM(O49:O50)</f>
        <v>0</v>
      </c>
      <c r="P48" s="35">
        <f t="shared" si="82"/>
        <v>0</v>
      </c>
      <c r="Q48" s="35">
        <f t="shared" si="82"/>
        <v>0</v>
      </c>
      <c r="R48" s="35">
        <f t="shared" si="82"/>
        <v>0</v>
      </c>
      <c r="S48" s="35">
        <f t="shared" si="82"/>
        <v>0</v>
      </c>
      <c r="T48" s="35">
        <f t="shared" si="82"/>
        <v>0</v>
      </c>
      <c r="U48" s="35">
        <f t="shared" si="6"/>
        <v>0</v>
      </c>
      <c r="V48" s="35">
        <f t="shared" si="7"/>
        <v>0</v>
      </c>
      <c r="W48" s="35">
        <f t="shared" ref="W48:AA48" si="83">SUM(W49:W50)</f>
        <v>0</v>
      </c>
      <c r="X48" s="35">
        <f t="shared" si="83"/>
        <v>0</v>
      </c>
      <c r="Y48" s="35">
        <f t="shared" si="83"/>
        <v>0</v>
      </c>
      <c r="Z48" s="35">
        <f t="shared" si="83"/>
        <v>0</v>
      </c>
      <c r="AA48" s="35">
        <f t="shared" si="83"/>
        <v>0</v>
      </c>
      <c r="AB48" s="35">
        <f t="shared" si="9"/>
        <v>0</v>
      </c>
      <c r="AC48" s="35">
        <f>SUM(AC49:AC50)</f>
        <v>0</v>
      </c>
      <c r="AD48" s="35">
        <f>SUM(AD49:AD50)</f>
        <v>0</v>
      </c>
      <c r="AE48" s="101">
        <v>0</v>
      </c>
      <c r="AF48" s="101">
        <v>0</v>
      </c>
      <c r="AG48" s="101">
        <v>0</v>
      </c>
      <c r="AH48" s="101">
        <v>0</v>
      </c>
    </row>
    <row r="49" spans="1:34">
      <c r="A49" s="8">
        <f>49-6</f>
        <v>43</v>
      </c>
      <c r="B49" s="94"/>
      <c r="C49" s="94"/>
      <c r="D49" s="94"/>
      <c r="E49" s="94" t="s">
        <v>77</v>
      </c>
      <c r="F49" s="35">
        <f t="shared" si="0"/>
        <v>362</v>
      </c>
      <c r="G49" s="35">
        <f t="shared" si="1"/>
        <v>362</v>
      </c>
      <c r="H49" s="35">
        <f t="shared" si="2"/>
        <v>362</v>
      </c>
      <c r="I49" s="35">
        <v>362</v>
      </c>
      <c r="J49" s="35">
        <v>0</v>
      </c>
      <c r="K49" s="35">
        <v>0</v>
      </c>
      <c r="L49" s="35">
        <v>0</v>
      </c>
      <c r="M49" s="35">
        <v>0</v>
      </c>
      <c r="N49" s="35">
        <f t="shared" si="4"/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f t="shared" si="6"/>
        <v>0</v>
      </c>
      <c r="V49" s="35">
        <f t="shared" si="7"/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f t="shared" si="9"/>
        <v>0</v>
      </c>
      <c r="AC49" s="35">
        <v>0</v>
      </c>
      <c r="AD49" s="35">
        <v>0</v>
      </c>
      <c r="AE49" s="101">
        <v>0</v>
      </c>
      <c r="AF49" s="101">
        <v>0</v>
      </c>
      <c r="AG49" s="101">
        <v>0</v>
      </c>
      <c r="AH49" s="101">
        <v>0</v>
      </c>
    </row>
    <row r="50" spans="1:34">
      <c r="A50" s="8">
        <f>50-6</f>
        <v>44</v>
      </c>
      <c r="B50" s="94"/>
      <c r="C50" s="94"/>
      <c r="D50" s="94"/>
      <c r="E50" s="94" t="s">
        <v>78</v>
      </c>
      <c r="F50" s="35">
        <f t="shared" si="0"/>
        <v>402.24</v>
      </c>
      <c r="G50" s="35">
        <f t="shared" si="1"/>
        <v>402.24</v>
      </c>
      <c r="H50" s="35">
        <f t="shared" si="2"/>
        <v>402.24</v>
      </c>
      <c r="I50" s="35">
        <v>402.24</v>
      </c>
      <c r="J50" s="35">
        <v>0</v>
      </c>
      <c r="K50" s="35">
        <v>0</v>
      </c>
      <c r="L50" s="35">
        <v>0</v>
      </c>
      <c r="M50" s="35">
        <v>0</v>
      </c>
      <c r="N50" s="35">
        <f t="shared" si="4"/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f t="shared" si="6"/>
        <v>0</v>
      </c>
      <c r="V50" s="35">
        <f t="shared" si="7"/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f t="shared" si="9"/>
        <v>0</v>
      </c>
      <c r="AC50" s="35">
        <v>0</v>
      </c>
      <c r="AD50" s="35">
        <v>0</v>
      </c>
      <c r="AE50" s="101">
        <v>0</v>
      </c>
      <c r="AF50" s="101">
        <v>0</v>
      </c>
      <c r="AG50" s="101">
        <v>0</v>
      </c>
      <c r="AH50" s="101">
        <v>0</v>
      </c>
    </row>
    <row r="51" ht="36" spans="1:34">
      <c r="A51" s="8">
        <f>51-6</f>
        <v>45</v>
      </c>
      <c r="B51" s="94"/>
      <c r="C51" s="94" t="s">
        <v>146</v>
      </c>
      <c r="D51" s="94"/>
      <c r="E51" s="94"/>
      <c r="F51" s="35">
        <f t="shared" si="0"/>
        <v>126.66</v>
      </c>
      <c r="G51" s="35">
        <f t="shared" si="1"/>
        <v>0</v>
      </c>
      <c r="H51" s="35">
        <f t="shared" si="2"/>
        <v>0</v>
      </c>
      <c r="I51" s="35">
        <f t="shared" ref="I51:M51" si="84">SUM(I52)</f>
        <v>0</v>
      </c>
      <c r="J51" s="35">
        <f t="shared" si="84"/>
        <v>0</v>
      </c>
      <c r="K51" s="35">
        <f t="shared" si="84"/>
        <v>0</v>
      </c>
      <c r="L51" s="35">
        <f t="shared" si="84"/>
        <v>0</v>
      </c>
      <c r="M51" s="35">
        <f t="shared" si="84"/>
        <v>0</v>
      </c>
      <c r="N51" s="35">
        <f t="shared" si="4"/>
        <v>0</v>
      </c>
      <c r="O51" s="35">
        <f t="shared" ref="O51:T51" si="85">SUM(O52)</f>
        <v>0</v>
      </c>
      <c r="P51" s="35">
        <f t="shared" si="85"/>
        <v>0</v>
      </c>
      <c r="Q51" s="35">
        <f t="shared" si="85"/>
        <v>0</v>
      </c>
      <c r="R51" s="35">
        <f t="shared" si="85"/>
        <v>0</v>
      </c>
      <c r="S51" s="35">
        <f t="shared" si="85"/>
        <v>0</v>
      </c>
      <c r="T51" s="35">
        <f t="shared" si="85"/>
        <v>0</v>
      </c>
      <c r="U51" s="35">
        <f t="shared" si="6"/>
        <v>126.66</v>
      </c>
      <c r="V51" s="35">
        <f t="shared" si="7"/>
        <v>126.66</v>
      </c>
      <c r="W51" s="35">
        <f t="shared" ref="W51:AA51" si="86">SUM(W52)</f>
        <v>126.66</v>
      </c>
      <c r="X51" s="35">
        <f t="shared" si="86"/>
        <v>0</v>
      </c>
      <c r="Y51" s="35">
        <f t="shared" si="86"/>
        <v>0</v>
      </c>
      <c r="Z51" s="35">
        <f t="shared" si="86"/>
        <v>0</v>
      </c>
      <c r="AA51" s="35">
        <f t="shared" si="86"/>
        <v>0</v>
      </c>
      <c r="AB51" s="35">
        <f t="shared" si="9"/>
        <v>0</v>
      </c>
      <c r="AC51" s="35">
        <f>SUM(AC52)</f>
        <v>0</v>
      </c>
      <c r="AD51" s="35">
        <f>SUM(AD52)</f>
        <v>0</v>
      </c>
      <c r="AE51" s="101">
        <v>0</v>
      </c>
      <c r="AF51" s="101">
        <v>0</v>
      </c>
      <c r="AG51" s="101">
        <v>0</v>
      </c>
      <c r="AH51" s="101">
        <v>0</v>
      </c>
    </row>
    <row r="52" ht="60" spans="1:34">
      <c r="A52" s="8">
        <f>52-6</f>
        <v>46</v>
      </c>
      <c r="B52" s="94"/>
      <c r="C52" s="94"/>
      <c r="D52" s="94" t="s">
        <v>147</v>
      </c>
      <c r="E52" s="94"/>
      <c r="F52" s="35">
        <f t="shared" si="0"/>
        <v>126.66</v>
      </c>
      <c r="G52" s="35">
        <f t="shared" si="1"/>
        <v>0</v>
      </c>
      <c r="H52" s="35">
        <f t="shared" si="2"/>
        <v>0</v>
      </c>
      <c r="I52" s="35">
        <f t="shared" ref="I52:M52" si="87">SUM(I53)</f>
        <v>0</v>
      </c>
      <c r="J52" s="35">
        <f t="shared" si="87"/>
        <v>0</v>
      </c>
      <c r="K52" s="35">
        <f t="shared" si="87"/>
        <v>0</v>
      </c>
      <c r="L52" s="35">
        <f t="shared" si="87"/>
        <v>0</v>
      </c>
      <c r="M52" s="35">
        <f t="shared" si="87"/>
        <v>0</v>
      </c>
      <c r="N52" s="35">
        <f t="shared" si="4"/>
        <v>0</v>
      </c>
      <c r="O52" s="35">
        <f t="shared" ref="O52:T52" si="88">SUM(O53)</f>
        <v>0</v>
      </c>
      <c r="P52" s="35">
        <f t="shared" si="88"/>
        <v>0</v>
      </c>
      <c r="Q52" s="35">
        <f t="shared" si="88"/>
        <v>0</v>
      </c>
      <c r="R52" s="35">
        <f t="shared" si="88"/>
        <v>0</v>
      </c>
      <c r="S52" s="35">
        <f t="shared" si="88"/>
        <v>0</v>
      </c>
      <c r="T52" s="35">
        <f t="shared" si="88"/>
        <v>0</v>
      </c>
      <c r="U52" s="35">
        <f t="shared" si="6"/>
        <v>126.66</v>
      </c>
      <c r="V52" s="35">
        <f t="shared" si="7"/>
        <v>126.66</v>
      </c>
      <c r="W52" s="35">
        <f t="shared" ref="W52:AA52" si="89">SUM(W53)</f>
        <v>126.66</v>
      </c>
      <c r="X52" s="35">
        <f t="shared" si="89"/>
        <v>0</v>
      </c>
      <c r="Y52" s="35">
        <f t="shared" si="89"/>
        <v>0</v>
      </c>
      <c r="Z52" s="35">
        <f t="shared" si="89"/>
        <v>0</v>
      </c>
      <c r="AA52" s="35">
        <f t="shared" si="89"/>
        <v>0</v>
      </c>
      <c r="AB52" s="35">
        <f t="shared" si="9"/>
        <v>0</v>
      </c>
      <c r="AC52" s="35">
        <f>SUM(AC53)</f>
        <v>0</v>
      </c>
      <c r="AD52" s="35">
        <f>SUM(AD53)</f>
        <v>0</v>
      </c>
      <c r="AE52" s="109">
        <v>0</v>
      </c>
      <c r="AF52" s="109">
        <v>0</v>
      </c>
      <c r="AG52" s="109">
        <v>0</v>
      </c>
      <c r="AH52" s="109">
        <v>0</v>
      </c>
    </row>
    <row r="53" ht="24" spans="1:34">
      <c r="A53" s="8">
        <f>53-6</f>
        <v>47</v>
      </c>
      <c r="B53" s="94"/>
      <c r="C53" s="94"/>
      <c r="D53" s="94"/>
      <c r="E53" s="94" t="s">
        <v>79</v>
      </c>
      <c r="F53" s="35">
        <f t="shared" si="0"/>
        <v>126.66</v>
      </c>
      <c r="G53" s="35">
        <f t="shared" si="1"/>
        <v>0</v>
      </c>
      <c r="H53" s="35">
        <f t="shared" si="2"/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f t="shared" si="4"/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f t="shared" si="6"/>
        <v>126.66</v>
      </c>
      <c r="V53" s="35">
        <f t="shared" si="7"/>
        <v>126.66</v>
      </c>
      <c r="W53" s="35">
        <v>126.66</v>
      </c>
      <c r="X53" s="35">
        <v>0</v>
      </c>
      <c r="Y53" s="35">
        <v>0</v>
      </c>
      <c r="Z53" s="35">
        <v>0</v>
      </c>
      <c r="AA53" s="35">
        <v>0</v>
      </c>
      <c r="AB53" s="35">
        <f t="shared" si="9"/>
        <v>0</v>
      </c>
      <c r="AC53" s="35">
        <v>0</v>
      </c>
      <c r="AD53" s="35">
        <v>0</v>
      </c>
      <c r="AE53" s="110">
        <v>0</v>
      </c>
      <c r="AF53" s="110">
        <v>0</v>
      </c>
      <c r="AG53" s="110">
        <v>0</v>
      </c>
      <c r="AH53" s="110">
        <v>0</v>
      </c>
    </row>
    <row r="54" ht="39.75" customHeight="1" spans="1:34">
      <c r="A54" s="102"/>
      <c r="B54" s="103"/>
      <c r="C54" s="103"/>
      <c r="D54" s="103"/>
      <c r="E54" s="103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</row>
    <row r="55" ht="18.75" customHeight="1" spans="1:34">
      <c r="A55" s="102"/>
      <c r="B55" s="103"/>
      <c r="C55" s="103"/>
      <c r="D55" s="103"/>
      <c r="E55" s="103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</row>
    <row r="56" ht="18.75" customHeight="1" spans="1:34">
      <c r="A56" s="102"/>
      <c r="B56" s="103"/>
      <c r="C56" s="103"/>
      <c r="D56" s="105"/>
      <c r="E56" s="103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</row>
    <row r="57" ht="18.75" customHeight="1" spans="1:34">
      <c r="A57" s="102"/>
      <c r="B57" s="103"/>
      <c r="C57" s="103"/>
      <c r="D57" s="103"/>
      <c r="E57" s="103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</row>
    <row r="58" ht="18.75" customHeight="1" spans="1:34">
      <c r="A58" s="102"/>
      <c r="B58" s="103"/>
      <c r="C58" s="103"/>
      <c r="D58" s="103"/>
      <c r="E58" s="103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</row>
    <row r="59" ht="18.75" customHeight="1" spans="1:34">
      <c r="A59" s="102"/>
      <c r="B59" s="103"/>
      <c r="C59" s="103"/>
      <c r="D59" s="103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</row>
    <row r="60" ht="18.75" customHeight="1" spans="1:34">
      <c r="A60" s="102"/>
      <c r="B60" s="103"/>
      <c r="C60" s="103"/>
      <c r="D60" s="105"/>
      <c r="E60" s="103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</row>
    <row r="61" ht="18.75" customHeight="1" spans="1:34">
      <c r="A61" s="102"/>
      <c r="B61" s="103"/>
      <c r="C61" s="103"/>
      <c r="D61" s="103"/>
      <c r="E61" s="103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</row>
    <row r="62" ht="18.75" customHeight="1" spans="1:34">
      <c r="A62" s="102"/>
      <c r="B62" s="103"/>
      <c r="C62" s="103"/>
      <c r="D62" s="105"/>
      <c r="E62" s="103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</row>
    <row r="63" ht="18.75" customHeight="1" spans="1:34">
      <c r="A63" s="102"/>
      <c r="B63" s="103"/>
      <c r="C63" s="103"/>
      <c r="D63" s="103"/>
      <c r="E63" s="103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</row>
    <row r="64" ht="18.75" customHeight="1" spans="1:34">
      <c r="A64" s="102"/>
      <c r="B64" s="103"/>
      <c r="C64" s="103"/>
      <c r="D64" s="103"/>
      <c r="E64" s="103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</row>
    <row r="65" ht="18.75" customHeight="1" spans="1:34">
      <c r="A65" s="102"/>
      <c r="B65" s="103"/>
      <c r="C65" s="103"/>
      <c r="D65" s="105"/>
      <c r="E65" s="103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ht="18.75" customHeight="1" spans="1:34">
      <c r="A66" s="102"/>
      <c r="B66" s="103"/>
      <c r="C66" s="103"/>
      <c r="D66" s="103"/>
      <c r="E66" s="103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</row>
    <row r="67" ht="18.75" customHeight="1" spans="1:34">
      <c r="A67" s="102"/>
      <c r="B67" s="103"/>
      <c r="C67" s="103"/>
      <c r="D67" s="103"/>
      <c r="E67" s="103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</row>
    <row r="68" ht="18.75" customHeight="1" spans="1:34">
      <c r="A68" s="102"/>
      <c r="B68" s="103"/>
      <c r="C68" s="103"/>
      <c r="D68" s="105"/>
      <c r="E68" s="103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</row>
    <row r="69" ht="18.75" customHeight="1" spans="1:34">
      <c r="A69" s="102"/>
      <c r="B69" s="103"/>
      <c r="C69" s="103"/>
      <c r="D69" s="103"/>
      <c r="E69" s="103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</row>
    <row r="70" ht="18.75" customHeight="1" spans="1:34">
      <c r="A70" s="102"/>
      <c r="B70" s="103"/>
      <c r="C70" s="103"/>
      <c r="D70" s="103"/>
      <c r="E70" s="103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</row>
    <row r="71" ht="18.75" customHeight="1" spans="1:34">
      <c r="A71" s="102"/>
      <c r="B71" s="103"/>
      <c r="C71" s="103"/>
      <c r="D71" s="105"/>
      <c r="E71" s="103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</row>
    <row r="72" ht="18.75" customHeight="1" spans="1:34">
      <c r="A72" s="102"/>
      <c r="B72" s="103"/>
      <c r="C72" s="103"/>
      <c r="D72" s="103"/>
      <c r="E72" s="103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</row>
    <row r="73" ht="39.75" customHeight="1" spans="1:34">
      <c r="A73" s="102"/>
      <c r="B73" s="103"/>
      <c r="C73" s="103"/>
      <c r="D73" s="103"/>
      <c r="E73" s="103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</row>
    <row r="74" ht="18.75" customHeight="1" spans="1:34">
      <c r="A74" s="102"/>
      <c r="B74" s="103"/>
      <c r="C74" s="103"/>
      <c r="D74" s="103"/>
      <c r="E74" s="103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</row>
    <row r="75" ht="18.75" customHeight="1" spans="1:34">
      <c r="A75" s="102"/>
      <c r="B75" s="103"/>
      <c r="C75" s="103"/>
      <c r="D75" s="105"/>
      <c r="E75" s="103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</row>
    <row r="76" ht="18.75" customHeight="1" spans="1:34">
      <c r="A76" s="102"/>
      <c r="B76" s="103"/>
      <c r="C76" s="103"/>
      <c r="D76" s="103"/>
      <c r="E76" s="103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</row>
    <row r="77" ht="18.75" customHeight="1" spans="1:34">
      <c r="A77" s="102"/>
      <c r="B77" s="103"/>
      <c r="C77" s="103"/>
      <c r="D77" s="105"/>
      <c r="E77" s="103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</row>
    <row r="78" ht="18.75" customHeight="1" spans="1:34">
      <c r="A78" s="102"/>
      <c r="B78" s="103"/>
      <c r="C78" s="103"/>
      <c r="D78" s="103"/>
      <c r="E78" s="103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</row>
    <row r="79" ht="18.75" customHeight="1" spans="1:34">
      <c r="A79" s="102"/>
      <c r="B79" s="103"/>
      <c r="C79" s="103"/>
      <c r="D79" s="103"/>
      <c r="E79" s="103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</row>
    <row r="80" ht="18.75" customHeight="1" spans="1:34">
      <c r="A80" s="102"/>
      <c r="B80" s="103"/>
      <c r="C80" s="103"/>
      <c r="D80" s="103"/>
      <c r="E80" s="103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</row>
    <row r="81" ht="18.75" customHeight="1" spans="1:34">
      <c r="A81" s="102"/>
      <c r="B81" s="103"/>
      <c r="C81" s="103"/>
      <c r="D81" s="105"/>
      <c r="E81" s="103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</row>
    <row r="82" ht="18.75" customHeight="1" spans="1:34">
      <c r="A82" s="102"/>
      <c r="B82" s="103"/>
      <c r="C82" s="103"/>
      <c r="D82" s="103"/>
      <c r="E82" s="103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</row>
    <row r="83" ht="18.75" customHeight="1" spans="1:34">
      <c r="A83" s="102"/>
      <c r="B83" s="103"/>
      <c r="C83" s="103"/>
      <c r="D83" s="103"/>
      <c r="E83" s="103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</row>
    <row r="84" ht="18.75" customHeight="1" spans="1:34">
      <c r="A84" s="102"/>
      <c r="B84" s="103"/>
      <c r="C84" s="103"/>
      <c r="D84" s="105"/>
      <c r="E84" s="103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</row>
    <row r="85" ht="18.75" customHeight="1" spans="1:34">
      <c r="A85" s="102"/>
      <c r="B85" s="103"/>
      <c r="C85" s="103"/>
      <c r="D85" s="103"/>
      <c r="E85" s="103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</row>
    <row r="86" ht="18.75" customHeight="1" spans="1:34">
      <c r="A86" s="102"/>
      <c r="B86" s="103"/>
      <c r="C86" s="103"/>
      <c r="D86" s="103"/>
      <c r="E86" s="103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</row>
    <row r="87" ht="18.75" customHeight="1" spans="1:34">
      <c r="A87" s="102"/>
      <c r="B87" s="103"/>
      <c r="C87" s="103"/>
      <c r="D87" s="105"/>
      <c r="E87" s="103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</row>
    <row r="88" ht="18.75" customHeight="1" spans="1:34">
      <c r="A88" s="102"/>
      <c r="B88" s="103"/>
      <c r="C88" s="103"/>
      <c r="D88" s="103"/>
      <c r="E88" s="103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</row>
    <row r="89" ht="18.75" customHeight="1" spans="1:34">
      <c r="A89" s="102"/>
      <c r="B89" s="103"/>
      <c r="C89" s="103"/>
      <c r="D89" s="103"/>
      <c r="E89" s="103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</row>
    <row r="90" ht="18.75" customHeight="1" spans="1:34">
      <c r="A90" s="102"/>
      <c r="B90" s="103"/>
      <c r="C90" s="103"/>
      <c r="D90" s="105"/>
      <c r="E90" s="103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</row>
    <row r="91" ht="18.75" customHeight="1" spans="1:34">
      <c r="A91" s="102"/>
      <c r="B91" s="103"/>
      <c r="C91" s="103"/>
      <c r="D91" s="103"/>
      <c r="E91" s="1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</row>
    <row r="92" ht="36" customHeight="1" spans="1:34">
      <c r="A92" s="102"/>
      <c r="B92" s="103"/>
      <c r="C92" s="103"/>
      <c r="D92" s="103"/>
      <c r="E92" s="103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</row>
    <row r="93" ht="18.75" customHeight="1" spans="1:34">
      <c r="A93" s="102"/>
      <c r="B93" s="103"/>
      <c r="C93" s="103"/>
      <c r="D93" s="103"/>
      <c r="E93" s="1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</row>
    <row r="94" ht="18.75" customHeight="1" spans="1:34">
      <c r="A94" s="102"/>
      <c r="B94" s="103"/>
      <c r="C94" s="103"/>
      <c r="D94" s="105"/>
      <c r="E94" s="103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</row>
    <row r="95" ht="18.75" customHeight="1" spans="1:34">
      <c r="A95" s="102"/>
      <c r="B95" s="103"/>
      <c r="C95" s="103"/>
      <c r="D95" s="103"/>
      <c r="E95" s="103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</row>
    <row r="96" ht="18.75" customHeight="1" spans="1:34">
      <c r="A96" s="102"/>
      <c r="B96" s="103"/>
      <c r="C96" s="103"/>
      <c r="D96" s="103"/>
      <c r="E96" s="103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</row>
    <row r="97" ht="18.75" customHeight="1" spans="1:34">
      <c r="A97" s="102"/>
      <c r="B97" s="103"/>
      <c r="C97" s="103"/>
      <c r="D97" s="103"/>
      <c r="E97" s="103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</row>
    <row r="98" ht="18.75" customHeight="1" spans="1:34">
      <c r="A98" s="102"/>
      <c r="B98" s="103"/>
      <c r="C98" s="103"/>
      <c r="D98" s="105"/>
      <c r="E98" s="103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</row>
    <row r="99" ht="18.75" customHeight="1" spans="1:34">
      <c r="A99" s="102"/>
      <c r="B99" s="103"/>
      <c r="C99" s="103"/>
      <c r="D99" s="103"/>
      <c r="E99" s="103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</row>
    <row r="100" ht="18.75" customHeight="1" spans="1:34">
      <c r="A100" s="102"/>
      <c r="B100" s="103"/>
      <c r="C100" s="103"/>
      <c r="D100" s="103"/>
      <c r="E100" s="103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</row>
    <row r="101" ht="18.75" customHeight="1" spans="1:34">
      <c r="A101" s="102"/>
      <c r="B101" s="103"/>
      <c r="C101" s="103"/>
      <c r="D101" s="105"/>
      <c r="E101" s="103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</row>
    <row r="102" ht="18.75" customHeight="1" spans="1:34">
      <c r="A102" s="102"/>
      <c r="B102" s="103"/>
      <c r="C102" s="103"/>
      <c r="D102" s="103"/>
      <c r="E102" s="103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</row>
    <row r="103" ht="18.75" customHeight="1" spans="1:34">
      <c r="A103" s="102"/>
      <c r="B103" s="103"/>
      <c r="C103" s="103"/>
      <c r="D103" s="103"/>
      <c r="E103" s="103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</row>
    <row r="104" ht="18.75" customHeight="1" spans="1:34">
      <c r="A104" s="102"/>
      <c r="B104" s="103"/>
      <c r="C104" s="103"/>
      <c r="D104" s="105"/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</row>
    <row r="105" ht="18.75" customHeight="1" spans="1:34">
      <c r="A105" s="102"/>
      <c r="B105" s="103"/>
      <c r="C105" s="103"/>
      <c r="D105" s="103"/>
      <c r="E105" s="10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</row>
    <row r="106" ht="18.75" customHeight="1" spans="1:34">
      <c r="A106" s="102"/>
      <c r="B106" s="103"/>
      <c r="C106" s="103"/>
      <c r="D106" s="103"/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</row>
    <row r="107" ht="18.75" customHeight="1" spans="1:34">
      <c r="A107" s="102"/>
      <c r="B107" s="103"/>
      <c r="C107" s="103"/>
      <c r="D107" s="105"/>
      <c r="E107" s="103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</row>
    <row r="108" ht="18.75" customHeight="1" spans="1:34">
      <c r="A108" s="102"/>
      <c r="B108" s="103"/>
      <c r="C108" s="103"/>
      <c r="D108" s="103"/>
      <c r="E108" s="10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</row>
    <row r="109" ht="39" customHeight="1" spans="1:34">
      <c r="A109" s="102"/>
      <c r="B109" s="103"/>
      <c r="C109" s="103"/>
      <c r="D109" s="103"/>
      <c r="E109" s="103"/>
      <c r="F109" s="104"/>
      <c r="G109" s="104"/>
      <c r="H109" s="104"/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</row>
    <row r="110" ht="18.75" customHeight="1" spans="1:34">
      <c r="A110" s="102"/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</row>
    <row r="111" ht="18.75" customHeight="1" spans="1:34">
      <c r="A111" s="102"/>
      <c r="B111" s="103"/>
      <c r="C111" s="103"/>
      <c r="D111" s="105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</row>
    <row r="112" ht="18.75" customHeight="1" spans="1:34">
      <c r="A112" s="102"/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</row>
    <row r="113" ht="18.75" customHeight="1" spans="1:34">
      <c r="A113" s="102"/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</row>
    <row r="114" ht="18.75" customHeight="1" spans="1:34">
      <c r="A114" s="102"/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</row>
    <row r="115" ht="18.75" customHeight="1" spans="1:34">
      <c r="A115" s="102"/>
      <c r="B115" s="103"/>
      <c r="C115" s="103"/>
      <c r="D115" s="105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</row>
    <row r="116" ht="18.75" customHeight="1" spans="1:34">
      <c r="A116" s="102"/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</row>
    <row r="117" ht="18.75" customHeight="1" spans="1:34">
      <c r="A117" s="102"/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</row>
    <row r="118" ht="18.75" customHeight="1" spans="1:34">
      <c r="A118" s="102"/>
      <c r="B118" s="103"/>
      <c r="C118" s="103"/>
      <c r="D118" s="105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</row>
    <row r="119" ht="18.75" customHeight="1" spans="1:34">
      <c r="A119" s="102"/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</row>
    <row r="120" ht="18.75" customHeight="1" spans="1:34">
      <c r="A120" s="102"/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</row>
    <row r="121" ht="18.75" customHeight="1" spans="1:34">
      <c r="A121" s="102"/>
      <c r="B121" s="103"/>
      <c r="C121" s="103"/>
      <c r="D121" s="105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</row>
    <row r="122" ht="18.75" customHeight="1" spans="1:34">
      <c r="A122" s="102"/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</row>
    <row r="123" ht="18.75" customHeight="1" spans="1:34">
      <c r="A123" s="102"/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</row>
    <row r="124" ht="18.75" customHeight="1" spans="1:34">
      <c r="A124" s="102"/>
      <c r="B124" s="103"/>
      <c r="C124" s="103"/>
      <c r="D124" s="105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</row>
    <row r="125" ht="18.75" customHeight="1" spans="1:34">
      <c r="A125" s="102"/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</row>
  </sheetData>
  <mergeCells count="24">
    <mergeCell ref="A1:AH1"/>
    <mergeCell ref="A2:C2"/>
    <mergeCell ref="AE2:AH2"/>
    <mergeCell ref="G3:T3"/>
    <mergeCell ref="U3:AH3"/>
    <mergeCell ref="H4:K4"/>
    <mergeCell ref="N4:S4"/>
    <mergeCell ref="V4:Y4"/>
    <mergeCell ref="AB4:AG4"/>
    <mergeCell ref="A6:E6"/>
    <mergeCell ref="A3:A5"/>
    <mergeCell ref="B3:B5"/>
    <mergeCell ref="C3:C5"/>
    <mergeCell ref="D3:D5"/>
    <mergeCell ref="E3:E5"/>
    <mergeCell ref="F3:F5"/>
    <mergeCell ref="G4:G5"/>
    <mergeCell ref="L4:L5"/>
    <mergeCell ref="M4:M5"/>
    <mergeCell ref="T4:T5"/>
    <mergeCell ref="U4:U5"/>
    <mergeCell ref="Z4:Z5"/>
    <mergeCell ref="AA4:AA5"/>
    <mergeCell ref="AH4:AH5"/>
  </mergeCells>
  <printOptions horizontalCentered="1"/>
  <pageMargins left="0.118110236220472" right="0" top="0.354330708661417" bottom="0" header="0.31496062992126" footer="0.31496062992126"/>
  <pageSetup paperSize="9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3"/>
  <sheetViews>
    <sheetView showRuler="0" workbookViewId="0">
      <selection activeCell="P18" sqref="P18"/>
    </sheetView>
  </sheetViews>
  <sheetFormatPr defaultColWidth="9" defaultRowHeight="15"/>
  <cols>
    <col min="1" max="1" width="24.1428571428571" customWidth="1"/>
    <col min="2" max="2" width="25.7142857142857" customWidth="1"/>
    <col min="3" max="3" width="11.2857142857143" customWidth="1"/>
    <col min="4" max="4" width="6" customWidth="1"/>
    <col min="5" max="5" width="4.85714285714286" customWidth="1"/>
    <col min="6" max="6" width="6.85714285714286" customWidth="1"/>
    <col min="7" max="7" width="3.57142857142857" customWidth="1"/>
    <col min="8" max="8" width="4.85714285714286" customWidth="1"/>
    <col min="9" max="9" width="8" customWidth="1"/>
    <col min="10" max="10" width="9.14285714285714" customWidth="1"/>
    <col min="11" max="11" width="7.14285714285714" customWidth="1"/>
    <col min="12" max="12" width="5.28571428571429" customWidth="1"/>
    <col min="13" max="13" width="10.1428571428571" customWidth="1"/>
    <col min="14" max="14" width="4.71428571428571" customWidth="1"/>
    <col min="15" max="15" width="5.57142857142857" customWidth="1"/>
    <col min="16" max="16" width="7.14285714285714" customWidth="1"/>
    <col min="17" max="17" width="5.14285714285714" customWidth="1"/>
    <col min="18" max="18" width="3.57142857142857" customWidth="1"/>
    <col min="19" max="19" width="5.57142857142857" customWidth="1"/>
    <col min="20" max="20" width="5.28571428571429" customWidth="1"/>
    <col min="21" max="21" width="7.28571428571429" customWidth="1"/>
    <col min="22" max="22" width="4.42857142857143" customWidth="1"/>
    <col min="23" max="23" width="6.85714285714286" customWidth="1"/>
    <col min="24" max="24" width="4.85714285714286" customWidth="1"/>
  </cols>
  <sheetData>
    <row r="1" ht="17.25" customHeight="1" spans="1:24">
      <c r="A1" s="86" t="s">
        <v>152</v>
      </c>
      <c r="B1" s="58"/>
      <c r="C1" s="58"/>
      <c r="D1" s="86"/>
      <c r="E1" s="86"/>
      <c r="F1" s="86"/>
      <c r="G1" s="86"/>
      <c r="H1" s="86"/>
      <c r="I1" s="86"/>
      <c r="J1" s="86"/>
      <c r="K1" s="86"/>
      <c r="L1" s="86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ht="15.75" customHeight="1" spans="1:24">
      <c r="A2" s="91" t="s">
        <v>5</v>
      </c>
      <c r="B2" s="92"/>
      <c r="C2" s="58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5" t="s">
        <v>153</v>
      </c>
    </row>
    <row r="3" ht="26.25" customHeight="1" spans="1:24">
      <c r="A3" s="8" t="s">
        <v>154</v>
      </c>
      <c r="B3" s="10" t="s">
        <v>155</v>
      </c>
      <c r="C3" s="65" t="s">
        <v>156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ht="49.5" customHeight="1" spans="1:24">
      <c r="A4" s="8"/>
      <c r="B4" s="10"/>
      <c r="C4" s="65" t="s">
        <v>40</v>
      </c>
      <c r="D4" s="8" t="s">
        <v>157</v>
      </c>
      <c r="E4" s="8" t="s">
        <v>158</v>
      </c>
      <c r="F4" s="8" t="s">
        <v>159</v>
      </c>
      <c r="G4" s="8" t="s">
        <v>160</v>
      </c>
      <c r="H4" s="8" t="s">
        <v>161</v>
      </c>
      <c r="I4" s="8" t="s">
        <v>162</v>
      </c>
      <c r="J4" s="8" t="s">
        <v>163</v>
      </c>
      <c r="K4" s="8" t="s">
        <v>164</v>
      </c>
      <c r="L4" s="8" t="s">
        <v>165</v>
      </c>
      <c r="M4" s="8" t="s">
        <v>166</v>
      </c>
      <c r="N4" s="8" t="s">
        <v>167</v>
      </c>
      <c r="O4" s="8" t="s">
        <v>168</v>
      </c>
      <c r="P4" s="8" t="s">
        <v>169</v>
      </c>
      <c r="Q4" s="8" t="s">
        <v>170</v>
      </c>
      <c r="R4" s="8" t="s">
        <v>171</v>
      </c>
      <c r="S4" s="8" t="s">
        <v>172</v>
      </c>
      <c r="T4" s="8" t="s">
        <v>173</v>
      </c>
      <c r="U4" s="8" t="s">
        <v>174</v>
      </c>
      <c r="V4" s="8" t="s">
        <v>175</v>
      </c>
      <c r="W4" s="8" t="s">
        <v>176</v>
      </c>
      <c r="X4" s="8" t="s">
        <v>177</v>
      </c>
    </row>
    <row r="5" ht="22.5" customHeight="1" spans="1:24">
      <c r="A5" s="89" t="s">
        <v>40</v>
      </c>
      <c r="B5" s="89"/>
      <c r="C5" s="14">
        <f t="shared" ref="C5:C26" si="0">SUM(D5+E5+F5+G5+H5+I5+J5+K5+L5+M5+N5+O5+P5+Q5+R5+S5+T5+U5+V5+W5+X5)</f>
        <v>24197.495998</v>
      </c>
      <c r="D5" s="14">
        <f>SUM(D7:D10,D12:D18,D20,D22:D23)</f>
        <v>0</v>
      </c>
      <c r="E5" s="14">
        <f t="shared" ref="E5:X5" si="1">SUM(E7:E10,E12:E18,E20,E22:E23)</f>
        <v>0</v>
      </c>
      <c r="F5" s="14">
        <f t="shared" si="1"/>
        <v>105</v>
      </c>
      <c r="G5" s="14">
        <f t="shared" si="1"/>
        <v>0</v>
      </c>
      <c r="H5" s="14">
        <f t="shared" si="1"/>
        <v>0</v>
      </c>
      <c r="I5" s="14">
        <f t="shared" si="1"/>
        <v>595</v>
      </c>
      <c r="J5" s="14">
        <f t="shared" si="1"/>
        <v>1551.456</v>
      </c>
      <c r="K5" s="14">
        <f t="shared" si="1"/>
        <v>446.53</v>
      </c>
      <c r="L5" s="14">
        <f t="shared" si="1"/>
        <v>0</v>
      </c>
      <c r="M5" s="14">
        <f t="shared" si="1"/>
        <v>20355.609998</v>
      </c>
      <c r="N5" s="14">
        <f t="shared" si="1"/>
        <v>0</v>
      </c>
      <c r="O5" s="14">
        <f t="shared" si="1"/>
        <v>0</v>
      </c>
      <c r="P5" s="14">
        <f t="shared" si="1"/>
        <v>253</v>
      </c>
      <c r="Q5" s="14">
        <f t="shared" si="1"/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764.24</v>
      </c>
      <c r="V5" s="14">
        <f t="shared" si="1"/>
        <v>0</v>
      </c>
      <c r="W5" s="14">
        <f t="shared" si="1"/>
        <v>126.66</v>
      </c>
      <c r="X5" s="14">
        <f t="shared" si="1"/>
        <v>0</v>
      </c>
    </row>
    <row r="6" ht="22.5" customHeight="1" spans="1:24">
      <c r="A6" s="94" t="s">
        <v>178</v>
      </c>
      <c r="B6" s="94"/>
      <c r="C6" s="14">
        <f t="shared" si="0"/>
        <v>12774.555998</v>
      </c>
      <c r="D6" s="74">
        <f t="shared" ref="D6:X6" si="2">SUM(D7:D10)</f>
        <v>0</v>
      </c>
      <c r="E6" s="74">
        <f t="shared" si="2"/>
        <v>0</v>
      </c>
      <c r="F6" s="74">
        <f t="shared" si="2"/>
        <v>0</v>
      </c>
      <c r="G6" s="74">
        <f t="shared" si="2"/>
        <v>0</v>
      </c>
      <c r="H6" s="74">
        <f t="shared" si="2"/>
        <v>0</v>
      </c>
      <c r="I6" s="74">
        <f t="shared" si="2"/>
        <v>0</v>
      </c>
      <c r="J6" s="74">
        <f t="shared" si="2"/>
        <v>495</v>
      </c>
      <c r="K6" s="74">
        <f t="shared" si="2"/>
        <v>248</v>
      </c>
      <c r="L6" s="74">
        <f t="shared" si="2"/>
        <v>0</v>
      </c>
      <c r="M6" s="74">
        <f t="shared" si="2"/>
        <v>11267.315998</v>
      </c>
      <c r="N6" s="74">
        <f t="shared" si="2"/>
        <v>0</v>
      </c>
      <c r="O6" s="74">
        <f t="shared" si="2"/>
        <v>0</v>
      </c>
      <c r="P6" s="74">
        <f t="shared" si="2"/>
        <v>0</v>
      </c>
      <c r="Q6" s="74">
        <f t="shared" si="2"/>
        <v>0</v>
      </c>
      <c r="R6" s="74">
        <f t="shared" si="2"/>
        <v>0</v>
      </c>
      <c r="S6" s="74">
        <f t="shared" si="2"/>
        <v>0</v>
      </c>
      <c r="T6" s="74">
        <f t="shared" si="2"/>
        <v>0</v>
      </c>
      <c r="U6" s="74">
        <f t="shared" si="2"/>
        <v>764.24</v>
      </c>
      <c r="V6" s="74">
        <f t="shared" si="2"/>
        <v>0</v>
      </c>
      <c r="W6" s="74">
        <f t="shared" si="2"/>
        <v>0</v>
      </c>
      <c r="X6" s="74">
        <f t="shared" si="2"/>
        <v>0</v>
      </c>
    </row>
    <row r="7" ht="22.5" customHeight="1" spans="1:24">
      <c r="A7" s="94"/>
      <c r="B7" s="94" t="s">
        <v>179</v>
      </c>
      <c r="C7" s="14">
        <f t="shared" si="0"/>
        <v>11188.931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10786.691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402.24</v>
      </c>
      <c r="V7" s="35">
        <v>0</v>
      </c>
      <c r="W7" s="35">
        <v>0</v>
      </c>
      <c r="X7" s="35">
        <v>0</v>
      </c>
    </row>
    <row r="8" ht="22.5" customHeight="1" spans="1:24">
      <c r="A8" s="94"/>
      <c r="B8" s="94" t="s">
        <v>180</v>
      </c>
      <c r="C8" s="14">
        <f t="shared" si="0"/>
        <v>753.325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495</v>
      </c>
      <c r="K8" s="35">
        <v>248</v>
      </c>
      <c r="L8" s="35">
        <v>0</v>
      </c>
      <c r="M8" s="35">
        <v>10.325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</row>
    <row r="9" ht="22.5" customHeight="1" spans="1:24">
      <c r="A9" s="94"/>
      <c r="B9" s="94" t="s">
        <v>181</v>
      </c>
      <c r="C9" s="14">
        <f t="shared" si="0"/>
        <v>362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362</v>
      </c>
      <c r="V9" s="35">
        <v>0</v>
      </c>
      <c r="W9" s="35">
        <v>0</v>
      </c>
      <c r="X9" s="35">
        <v>0</v>
      </c>
    </row>
    <row r="10" ht="22.5" customHeight="1" spans="1:24">
      <c r="A10" s="94"/>
      <c r="B10" s="94" t="s">
        <v>182</v>
      </c>
      <c r="C10" s="14">
        <f t="shared" si="0"/>
        <v>470.299998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470.299998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</row>
    <row r="11" ht="22.5" customHeight="1" spans="1:24">
      <c r="A11" s="94" t="s">
        <v>183</v>
      </c>
      <c r="B11" s="94"/>
      <c r="C11" s="14">
        <f t="shared" si="0"/>
        <v>11098.84</v>
      </c>
      <c r="D11" s="74">
        <f t="shared" ref="D11:X11" si="3">SUM(D12:D18)</f>
        <v>0</v>
      </c>
      <c r="E11" s="74">
        <f t="shared" si="3"/>
        <v>0</v>
      </c>
      <c r="F11" s="74">
        <f t="shared" si="3"/>
        <v>105</v>
      </c>
      <c r="G11" s="74">
        <f t="shared" si="3"/>
        <v>0</v>
      </c>
      <c r="H11" s="74">
        <f t="shared" si="3"/>
        <v>0</v>
      </c>
      <c r="I11" s="74">
        <f t="shared" si="3"/>
        <v>595</v>
      </c>
      <c r="J11" s="74">
        <f t="shared" si="3"/>
        <v>848.656</v>
      </c>
      <c r="K11" s="74">
        <f t="shared" si="3"/>
        <v>198.53</v>
      </c>
      <c r="L11" s="74">
        <f t="shared" si="3"/>
        <v>0</v>
      </c>
      <c r="M11" s="74">
        <f t="shared" si="3"/>
        <v>8971.994</v>
      </c>
      <c r="N11" s="74">
        <f t="shared" si="3"/>
        <v>0</v>
      </c>
      <c r="O11" s="74">
        <f t="shared" si="3"/>
        <v>0</v>
      </c>
      <c r="P11" s="74">
        <f t="shared" si="3"/>
        <v>253</v>
      </c>
      <c r="Q11" s="74">
        <f t="shared" si="3"/>
        <v>0</v>
      </c>
      <c r="R11" s="74">
        <f t="shared" si="3"/>
        <v>0</v>
      </c>
      <c r="S11" s="74">
        <f t="shared" si="3"/>
        <v>0</v>
      </c>
      <c r="T11" s="74">
        <f t="shared" si="3"/>
        <v>0</v>
      </c>
      <c r="U11" s="74">
        <f t="shared" si="3"/>
        <v>0</v>
      </c>
      <c r="V11" s="74">
        <f t="shared" si="3"/>
        <v>0</v>
      </c>
      <c r="W11" s="74">
        <f t="shared" si="3"/>
        <v>126.66</v>
      </c>
      <c r="X11" s="74">
        <f t="shared" si="3"/>
        <v>0</v>
      </c>
    </row>
    <row r="12" ht="22.5" customHeight="1" spans="1:24">
      <c r="A12" s="94"/>
      <c r="B12" s="94" t="s">
        <v>184</v>
      </c>
      <c r="C12" s="14">
        <f t="shared" si="0"/>
        <v>1953.626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27.216</v>
      </c>
      <c r="K12" s="35">
        <v>0</v>
      </c>
      <c r="L12" s="35">
        <v>0</v>
      </c>
      <c r="M12" s="35">
        <v>1926.41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</row>
    <row r="13" ht="22.5" customHeight="1" spans="1:24">
      <c r="A13" s="94"/>
      <c r="B13" s="94" t="s">
        <v>185</v>
      </c>
      <c r="C13" s="14">
        <f t="shared" si="0"/>
        <v>4.5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4.5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</row>
    <row r="14" ht="22.5" customHeight="1" spans="1:24">
      <c r="A14" s="94"/>
      <c r="B14" s="94" t="s">
        <v>186</v>
      </c>
      <c r="C14" s="14">
        <f t="shared" si="0"/>
        <v>4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4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</row>
    <row r="15" ht="22.5" customHeight="1" spans="1:24">
      <c r="A15" s="94"/>
      <c r="B15" s="94" t="s">
        <v>187</v>
      </c>
      <c r="C15" s="14">
        <f t="shared" si="0"/>
        <v>10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10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</row>
    <row r="16" ht="22.5" customHeight="1" spans="1:24">
      <c r="A16" s="94"/>
      <c r="B16" s="94" t="s">
        <v>188</v>
      </c>
      <c r="C16" s="14">
        <f t="shared" si="0"/>
        <v>18.48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18.48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</row>
    <row r="17" ht="22.5" customHeight="1" spans="1:24">
      <c r="A17" s="94"/>
      <c r="B17" s="94" t="s">
        <v>189</v>
      </c>
      <c r="C17" s="14">
        <f t="shared" si="0"/>
        <v>21.65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21.65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</row>
    <row r="18" ht="22.5" customHeight="1" spans="1:24">
      <c r="A18" s="94"/>
      <c r="B18" s="94" t="s">
        <v>190</v>
      </c>
      <c r="C18" s="14">
        <f t="shared" si="0"/>
        <v>9086.584</v>
      </c>
      <c r="D18" s="35">
        <v>0</v>
      </c>
      <c r="E18" s="35">
        <v>0</v>
      </c>
      <c r="F18" s="35">
        <v>105</v>
      </c>
      <c r="G18" s="35">
        <v>0</v>
      </c>
      <c r="H18" s="35">
        <v>0</v>
      </c>
      <c r="I18" s="35">
        <v>595</v>
      </c>
      <c r="J18" s="35">
        <v>821.44</v>
      </c>
      <c r="K18" s="35">
        <v>198.53</v>
      </c>
      <c r="L18" s="35">
        <v>0</v>
      </c>
      <c r="M18" s="35">
        <v>6986.954</v>
      </c>
      <c r="N18" s="35">
        <v>0</v>
      </c>
      <c r="O18" s="35">
        <v>0</v>
      </c>
      <c r="P18" s="35">
        <v>253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126.66</v>
      </c>
      <c r="X18" s="35">
        <v>0</v>
      </c>
    </row>
    <row r="19" ht="22.5" customHeight="1" spans="1:24">
      <c r="A19" s="94" t="s">
        <v>191</v>
      </c>
      <c r="B19" s="94"/>
      <c r="C19" s="14">
        <f t="shared" si="0"/>
        <v>116.3</v>
      </c>
      <c r="D19" s="74">
        <f t="shared" ref="D19:X19" si="4">SUM(D20)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  <c r="I19" s="74">
        <f t="shared" si="4"/>
        <v>0</v>
      </c>
      <c r="J19" s="74">
        <f t="shared" si="4"/>
        <v>0</v>
      </c>
      <c r="K19" s="74">
        <f t="shared" si="4"/>
        <v>0</v>
      </c>
      <c r="L19" s="74">
        <f t="shared" si="4"/>
        <v>0</v>
      </c>
      <c r="M19" s="74">
        <f t="shared" si="4"/>
        <v>116.3</v>
      </c>
      <c r="N19" s="74">
        <f t="shared" si="4"/>
        <v>0</v>
      </c>
      <c r="O19" s="74">
        <f t="shared" si="4"/>
        <v>0</v>
      </c>
      <c r="P19" s="74">
        <f t="shared" si="4"/>
        <v>0</v>
      </c>
      <c r="Q19" s="74">
        <f t="shared" si="4"/>
        <v>0</v>
      </c>
      <c r="R19" s="74">
        <f t="shared" si="4"/>
        <v>0</v>
      </c>
      <c r="S19" s="74">
        <f t="shared" si="4"/>
        <v>0</v>
      </c>
      <c r="T19" s="74">
        <f t="shared" si="4"/>
        <v>0</v>
      </c>
      <c r="U19" s="74">
        <f t="shared" si="4"/>
        <v>0</v>
      </c>
      <c r="V19" s="74">
        <f t="shared" si="4"/>
        <v>0</v>
      </c>
      <c r="W19" s="74">
        <f t="shared" si="4"/>
        <v>0</v>
      </c>
      <c r="X19" s="74">
        <f t="shared" si="4"/>
        <v>0</v>
      </c>
    </row>
    <row r="20" ht="22.5" customHeight="1" spans="1:24">
      <c r="A20" s="94"/>
      <c r="B20" s="94" t="s">
        <v>192</v>
      </c>
      <c r="C20" s="14">
        <f t="shared" si="0"/>
        <v>116.3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116.3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</row>
    <row r="21" spans="1:24">
      <c r="A21" s="94" t="s">
        <v>193</v>
      </c>
      <c r="B21" s="94"/>
      <c r="C21" s="14">
        <f t="shared" si="0"/>
        <v>207.8</v>
      </c>
      <c r="D21" s="74">
        <f t="shared" ref="D21:X21" si="5">SUM(D22:D23)</f>
        <v>0</v>
      </c>
      <c r="E21" s="74">
        <f t="shared" si="5"/>
        <v>0</v>
      </c>
      <c r="F21" s="74">
        <f t="shared" si="5"/>
        <v>0</v>
      </c>
      <c r="G21" s="74">
        <f t="shared" si="5"/>
        <v>0</v>
      </c>
      <c r="H21" s="74">
        <f t="shared" si="5"/>
        <v>0</v>
      </c>
      <c r="I21" s="74">
        <f t="shared" si="5"/>
        <v>0</v>
      </c>
      <c r="J21" s="74">
        <f t="shared" si="5"/>
        <v>207.8</v>
      </c>
      <c r="K21" s="74">
        <f t="shared" si="5"/>
        <v>0</v>
      </c>
      <c r="L21" s="74">
        <f t="shared" si="5"/>
        <v>0</v>
      </c>
      <c r="M21" s="74">
        <f t="shared" si="5"/>
        <v>0</v>
      </c>
      <c r="N21" s="74">
        <f t="shared" si="5"/>
        <v>0</v>
      </c>
      <c r="O21" s="74">
        <f t="shared" si="5"/>
        <v>0</v>
      </c>
      <c r="P21" s="74">
        <f t="shared" si="5"/>
        <v>0</v>
      </c>
      <c r="Q21" s="74">
        <f t="shared" si="5"/>
        <v>0</v>
      </c>
      <c r="R21" s="74">
        <f t="shared" si="5"/>
        <v>0</v>
      </c>
      <c r="S21" s="74">
        <f t="shared" si="5"/>
        <v>0</v>
      </c>
      <c r="T21" s="74">
        <f t="shared" si="5"/>
        <v>0</v>
      </c>
      <c r="U21" s="74">
        <f t="shared" si="5"/>
        <v>0</v>
      </c>
      <c r="V21" s="74">
        <f t="shared" si="5"/>
        <v>0</v>
      </c>
      <c r="W21" s="74">
        <f t="shared" si="5"/>
        <v>0</v>
      </c>
      <c r="X21" s="74">
        <f t="shared" si="5"/>
        <v>0</v>
      </c>
    </row>
    <row r="22" spans="1:24">
      <c r="A22" s="94"/>
      <c r="B22" s="94" t="s">
        <v>194</v>
      </c>
      <c r="C22" s="14">
        <f t="shared" si="0"/>
        <v>70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70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</row>
    <row r="23" spans="1:24">
      <c r="A23" s="94"/>
      <c r="B23" s="94" t="s">
        <v>195</v>
      </c>
      <c r="C23" s="14">
        <f t="shared" si="0"/>
        <v>137.8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137.8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</row>
  </sheetData>
  <mergeCells count="5">
    <mergeCell ref="A1:X1"/>
    <mergeCell ref="C3:X3"/>
    <mergeCell ref="A5:B5"/>
    <mergeCell ref="A3:A4"/>
    <mergeCell ref="B3:B4"/>
  </mergeCells>
  <printOptions horizontalCentered="1"/>
  <pageMargins left="0.118110236220472" right="0" top="0.354330708661417" bottom="0" header="0.31496062992126" footer="0.31496062992126"/>
  <pageSetup paperSize="9" scale="6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showRuler="0" workbookViewId="0">
      <selection activeCell="F17" sqref="F17:W17"/>
    </sheetView>
  </sheetViews>
  <sheetFormatPr defaultColWidth="9" defaultRowHeight="15"/>
  <cols>
    <col min="1" max="1" width="20.8571428571429" customWidth="1"/>
    <col min="2" max="2" width="33.4285714285714" customWidth="1"/>
    <col min="3" max="3" width="10.4285714285714" customWidth="1"/>
    <col min="4" max="4" width="6.85714285714286" customWidth="1"/>
    <col min="5" max="5" width="6.14285714285714" customWidth="1"/>
    <col min="6" max="6" width="7.28571428571429" customWidth="1"/>
    <col min="7" max="7" width="5.71428571428571" customWidth="1"/>
    <col min="8" max="8" width="5.28571428571429" customWidth="1"/>
    <col min="9" max="9" width="7.57142857142857" customWidth="1"/>
    <col min="10" max="10" width="9.14285714285714" customWidth="1"/>
    <col min="11" max="11" width="7" customWidth="1"/>
    <col min="12" max="12" width="6.14285714285714" customWidth="1"/>
    <col min="13" max="13" width="11" customWidth="1"/>
    <col min="14" max="14" width="5.71428571428571" customWidth="1"/>
    <col min="15" max="15" width="5.14285714285714" customWidth="1"/>
    <col min="16" max="16" width="8.42857142857143" customWidth="1"/>
    <col min="17" max="17" width="7" customWidth="1"/>
    <col min="18" max="18" width="5.28571428571429" customWidth="1"/>
    <col min="19" max="20" width="5.42857142857143" customWidth="1"/>
    <col min="21" max="21" width="7.57142857142857" customWidth="1"/>
    <col min="22" max="22" width="5.28571428571429" customWidth="1"/>
    <col min="23" max="23" width="7.14285714285714" customWidth="1"/>
    <col min="24" max="24" width="3.14285714285714" customWidth="1"/>
    <col min="26" max="26" width="10.5714285714286"/>
  </cols>
  <sheetData>
    <row r="1" ht="34.5" customHeight="1" spans="1:24">
      <c r="A1" s="86" t="s">
        <v>196</v>
      </c>
      <c r="B1" s="87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</row>
    <row r="2" ht="13.5" customHeight="1" spans="1:24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 t="s">
        <v>153</v>
      </c>
    </row>
    <row r="3" ht="25.5" customHeight="1" spans="1:24">
      <c r="A3" s="8" t="s">
        <v>197</v>
      </c>
      <c r="B3" s="10" t="s">
        <v>198</v>
      </c>
      <c r="C3" s="8" t="s">
        <v>156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ht="48.75" customHeight="1" spans="1:24">
      <c r="A4" s="8"/>
      <c r="B4" s="10"/>
      <c r="C4" s="70" t="s">
        <v>40</v>
      </c>
      <c r="D4" s="70" t="s">
        <v>157</v>
      </c>
      <c r="E4" s="70" t="s">
        <v>158</v>
      </c>
      <c r="F4" s="70" t="s">
        <v>159</v>
      </c>
      <c r="G4" s="70" t="s">
        <v>160</v>
      </c>
      <c r="H4" s="70" t="s">
        <v>161</v>
      </c>
      <c r="I4" s="70" t="s">
        <v>162</v>
      </c>
      <c r="J4" s="70" t="s">
        <v>163</v>
      </c>
      <c r="K4" s="70" t="s">
        <v>164</v>
      </c>
      <c r="L4" s="70" t="s">
        <v>165</v>
      </c>
      <c r="M4" s="70" t="s">
        <v>166</v>
      </c>
      <c r="N4" s="70" t="s">
        <v>167</v>
      </c>
      <c r="O4" s="70" t="s">
        <v>168</v>
      </c>
      <c r="P4" s="70" t="s">
        <v>169</v>
      </c>
      <c r="Q4" s="70" t="s">
        <v>170</v>
      </c>
      <c r="R4" s="70" t="s">
        <v>171</v>
      </c>
      <c r="S4" s="70" t="s">
        <v>172</v>
      </c>
      <c r="T4" s="70" t="s">
        <v>173</v>
      </c>
      <c r="U4" s="70" t="s">
        <v>174</v>
      </c>
      <c r="V4" s="70" t="s">
        <v>175</v>
      </c>
      <c r="W4" s="70" t="s">
        <v>176</v>
      </c>
      <c r="X4" s="70" t="s">
        <v>177</v>
      </c>
    </row>
    <row r="5" ht="18.75" customHeight="1" spans="1:24">
      <c r="A5" s="89" t="s">
        <v>40</v>
      </c>
      <c r="B5" s="89"/>
      <c r="C5" s="14">
        <f t="shared" ref="C5:C26" si="0">SUM(D5+E5+F5+G5+H5+I5+J5+K5+L5+M5+N5+O5+P5+Q5+R5+S5+T5+U5+V5+W5+X5)</f>
        <v>24197.5</v>
      </c>
      <c r="D5" s="14">
        <f t="shared" ref="D5:X5" si="1">SUM(D7:D16,D18:D32,D34:D35,D37)</f>
        <v>0</v>
      </c>
      <c r="E5" s="14">
        <f t="shared" si="1"/>
        <v>0</v>
      </c>
      <c r="F5" s="14">
        <f t="shared" si="1"/>
        <v>105</v>
      </c>
      <c r="G5" s="14">
        <f t="shared" si="1"/>
        <v>0</v>
      </c>
      <c r="H5" s="14">
        <f t="shared" si="1"/>
        <v>0</v>
      </c>
      <c r="I5" s="14">
        <f t="shared" si="1"/>
        <v>595</v>
      </c>
      <c r="J5" s="14">
        <f t="shared" si="1"/>
        <v>1551.46</v>
      </c>
      <c r="K5" s="14">
        <f t="shared" si="1"/>
        <v>446.53</v>
      </c>
      <c r="L5" s="14">
        <f t="shared" si="1"/>
        <v>0</v>
      </c>
      <c r="M5" s="14">
        <v>20355.61</v>
      </c>
      <c r="N5" s="14">
        <f t="shared" si="1"/>
        <v>0</v>
      </c>
      <c r="O5" s="14">
        <f t="shared" si="1"/>
        <v>0</v>
      </c>
      <c r="P5" s="14">
        <f t="shared" si="1"/>
        <v>253</v>
      </c>
      <c r="Q5" s="14">
        <f t="shared" si="1"/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764.24</v>
      </c>
      <c r="V5" s="14">
        <f t="shared" si="1"/>
        <v>0</v>
      </c>
      <c r="W5" s="14">
        <f t="shared" si="1"/>
        <v>126.66</v>
      </c>
      <c r="X5" s="14">
        <f t="shared" si="1"/>
        <v>0</v>
      </c>
    </row>
    <row r="6" ht="18.75" customHeight="1" spans="1:24">
      <c r="A6" s="15" t="s">
        <v>199</v>
      </c>
      <c r="B6" s="10"/>
      <c r="C6" s="73">
        <f t="shared" si="0"/>
        <v>12774.565</v>
      </c>
      <c r="D6" s="73">
        <f t="shared" ref="D6:X6" si="2">SUM(D7:D16)</f>
        <v>0</v>
      </c>
      <c r="E6" s="73">
        <f t="shared" si="2"/>
        <v>0</v>
      </c>
      <c r="F6" s="73">
        <f t="shared" si="2"/>
        <v>0</v>
      </c>
      <c r="G6" s="73">
        <f t="shared" si="2"/>
        <v>0</v>
      </c>
      <c r="H6" s="73">
        <f t="shared" si="2"/>
        <v>0</v>
      </c>
      <c r="I6" s="73">
        <f t="shared" si="2"/>
        <v>0</v>
      </c>
      <c r="J6" s="73">
        <f t="shared" si="2"/>
        <v>495</v>
      </c>
      <c r="K6" s="73">
        <f t="shared" si="2"/>
        <v>248</v>
      </c>
      <c r="L6" s="73">
        <f t="shared" si="2"/>
        <v>0</v>
      </c>
      <c r="M6" s="73">
        <f t="shared" si="2"/>
        <v>11267.325</v>
      </c>
      <c r="N6" s="73">
        <f t="shared" si="2"/>
        <v>0</v>
      </c>
      <c r="O6" s="73">
        <f t="shared" si="2"/>
        <v>0</v>
      </c>
      <c r="P6" s="73">
        <f t="shared" si="2"/>
        <v>0</v>
      </c>
      <c r="Q6" s="73">
        <f t="shared" si="2"/>
        <v>0</v>
      </c>
      <c r="R6" s="73">
        <f t="shared" si="2"/>
        <v>0</v>
      </c>
      <c r="S6" s="73">
        <f t="shared" si="2"/>
        <v>0</v>
      </c>
      <c r="T6" s="73">
        <f t="shared" si="2"/>
        <v>0</v>
      </c>
      <c r="U6" s="73">
        <f t="shared" si="2"/>
        <v>764.24</v>
      </c>
      <c r="V6" s="73">
        <f t="shared" si="2"/>
        <v>0</v>
      </c>
      <c r="W6" s="73">
        <f t="shared" si="2"/>
        <v>0</v>
      </c>
      <c r="X6" s="73">
        <f t="shared" si="2"/>
        <v>0</v>
      </c>
    </row>
    <row r="7" ht="15.75" customHeight="1" spans="1:24">
      <c r="A7" s="15"/>
      <c r="B7" s="10" t="s">
        <v>200</v>
      </c>
      <c r="C7" s="14">
        <f t="shared" si="0"/>
        <v>8875.9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8875.9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</row>
    <row r="8" ht="15.75" customHeight="1" spans="1:24">
      <c r="A8" s="15"/>
      <c r="B8" s="10" t="s">
        <v>201</v>
      </c>
      <c r="C8" s="14">
        <f t="shared" si="0"/>
        <v>1143.58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741.34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402.24</v>
      </c>
      <c r="V8" s="14">
        <v>0</v>
      </c>
      <c r="W8" s="14">
        <v>0</v>
      </c>
      <c r="X8" s="14">
        <v>0</v>
      </c>
    </row>
    <row r="9" ht="15.75" customHeight="1" spans="1:24">
      <c r="A9" s="15"/>
      <c r="B9" s="10" t="s">
        <v>202</v>
      </c>
      <c r="C9" s="14">
        <f t="shared" si="0"/>
        <v>1169.455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1169.455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</row>
    <row r="10" ht="15.75" customHeight="1" spans="1:24">
      <c r="A10" s="15"/>
      <c r="B10" s="10" t="s">
        <v>203</v>
      </c>
      <c r="C10" s="14">
        <f t="shared" si="0"/>
        <v>330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330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</row>
    <row r="11" ht="15.75" customHeight="1" spans="1:24">
      <c r="A11" s="15"/>
      <c r="B11" s="10" t="s">
        <v>204</v>
      </c>
      <c r="C11" s="14">
        <f t="shared" si="0"/>
        <v>165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165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</row>
    <row r="12" ht="15.75" customHeight="1" spans="1:24">
      <c r="A12" s="15"/>
      <c r="B12" s="10" t="s">
        <v>205</v>
      </c>
      <c r="C12" s="14">
        <f t="shared" si="0"/>
        <v>205.5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205.5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</row>
    <row r="13" ht="15.75" customHeight="1" spans="1:24">
      <c r="A13" s="15"/>
      <c r="B13" s="10" t="s">
        <v>206</v>
      </c>
      <c r="C13" s="14">
        <f t="shared" si="0"/>
        <v>42.5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42.5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</row>
    <row r="14" ht="15.75" customHeight="1" spans="1:24">
      <c r="A14" s="15"/>
      <c r="B14" s="10" t="s">
        <v>207</v>
      </c>
      <c r="C14" s="14">
        <f t="shared" si="0"/>
        <v>10.33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10.33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</row>
    <row r="15" ht="15.75" customHeight="1" spans="1:24">
      <c r="A15" s="15"/>
      <c r="B15" s="10" t="s">
        <v>208</v>
      </c>
      <c r="C15" s="14">
        <f t="shared" si="0"/>
        <v>362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362</v>
      </c>
      <c r="V15" s="14">
        <v>0</v>
      </c>
      <c r="W15" s="14">
        <v>0</v>
      </c>
      <c r="X15" s="14">
        <v>0</v>
      </c>
    </row>
    <row r="16" ht="18.75" customHeight="1" spans="1:24">
      <c r="A16" s="15"/>
      <c r="B16" s="10" t="s">
        <v>209</v>
      </c>
      <c r="C16" s="14">
        <f t="shared" si="0"/>
        <v>470.3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470.3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4">
        <v>0</v>
      </c>
      <c r="X16" s="14">
        <v>0</v>
      </c>
    </row>
    <row r="17" ht="15.75" customHeight="1" spans="1:24">
      <c r="A17" s="15" t="s">
        <v>210</v>
      </c>
      <c r="B17" s="10"/>
      <c r="C17" s="73">
        <f t="shared" si="0"/>
        <v>11098.841</v>
      </c>
      <c r="D17" s="73">
        <f t="shared" ref="D17:X17" si="3">SUM(D18:D32)</f>
        <v>0</v>
      </c>
      <c r="E17" s="73">
        <f t="shared" si="3"/>
        <v>0</v>
      </c>
      <c r="F17" s="73">
        <f t="shared" si="3"/>
        <v>105</v>
      </c>
      <c r="G17" s="73">
        <f t="shared" si="3"/>
        <v>0</v>
      </c>
      <c r="H17" s="73">
        <f t="shared" si="3"/>
        <v>0</v>
      </c>
      <c r="I17" s="73">
        <f t="shared" si="3"/>
        <v>595</v>
      </c>
      <c r="J17" s="73">
        <f t="shared" si="3"/>
        <v>848.66</v>
      </c>
      <c r="K17" s="73">
        <f t="shared" si="3"/>
        <v>198.53</v>
      </c>
      <c r="L17" s="73">
        <f t="shared" si="3"/>
        <v>0</v>
      </c>
      <c r="M17" s="73">
        <f t="shared" si="3"/>
        <v>8971.991</v>
      </c>
      <c r="N17" s="73">
        <f t="shared" si="3"/>
        <v>0</v>
      </c>
      <c r="O17" s="73">
        <f t="shared" si="3"/>
        <v>0</v>
      </c>
      <c r="P17" s="73">
        <f t="shared" si="3"/>
        <v>253</v>
      </c>
      <c r="Q17" s="73">
        <f t="shared" si="3"/>
        <v>0</v>
      </c>
      <c r="R17" s="73">
        <f t="shared" si="3"/>
        <v>0</v>
      </c>
      <c r="S17" s="73">
        <f t="shared" si="3"/>
        <v>0</v>
      </c>
      <c r="T17" s="73">
        <f t="shared" si="3"/>
        <v>0</v>
      </c>
      <c r="U17" s="73">
        <f t="shared" si="3"/>
        <v>0</v>
      </c>
      <c r="V17" s="73">
        <f t="shared" si="3"/>
        <v>0</v>
      </c>
      <c r="W17" s="73">
        <f t="shared" si="3"/>
        <v>126.66</v>
      </c>
      <c r="X17" s="73">
        <f t="shared" si="3"/>
        <v>0</v>
      </c>
    </row>
    <row r="18" ht="15.75" customHeight="1" spans="1:24">
      <c r="A18" s="15"/>
      <c r="B18" s="10" t="s">
        <v>211</v>
      </c>
      <c r="C18" s="14">
        <f t="shared" si="0"/>
        <v>235.36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235.36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</row>
    <row r="19" ht="15.75" customHeight="1" spans="1:24">
      <c r="A19" s="15"/>
      <c r="B19" s="10" t="s">
        <v>212</v>
      </c>
      <c r="C19" s="14">
        <f t="shared" si="0"/>
        <v>10.08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10.08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</row>
    <row r="20" ht="15.75" customHeight="1" spans="1:24">
      <c r="A20" s="15"/>
      <c r="B20" s="10" t="s">
        <v>213</v>
      </c>
      <c r="C20" s="14">
        <f t="shared" si="0"/>
        <v>77.42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77.42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</row>
    <row r="21" ht="15.75" customHeight="1" spans="1:24">
      <c r="A21" s="15"/>
      <c r="B21" s="10" t="s">
        <v>214</v>
      </c>
      <c r="C21" s="14">
        <f t="shared" si="0"/>
        <v>783.2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783.2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</row>
    <row r="22" ht="15.75" customHeight="1" spans="1:24">
      <c r="A22" s="15"/>
      <c r="B22" s="10" t="s">
        <v>215</v>
      </c>
      <c r="C22" s="14">
        <f t="shared" si="0"/>
        <v>29.5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29.5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</row>
    <row r="23" ht="15.75" customHeight="1" spans="1:24">
      <c r="A23" s="15"/>
      <c r="B23" s="10" t="s">
        <v>216</v>
      </c>
      <c r="C23" s="14">
        <f t="shared" si="0"/>
        <v>10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</row>
    <row r="24" ht="15.75" customHeight="1" spans="1:24">
      <c r="A24" s="15"/>
      <c r="B24" s="10" t="s">
        <v>217</v>
      </c>
      <c r="C24" s="14">
        <f t="shared" si="0"/>
        <v>21.65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21.65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</row>
    <row r="25" ht="15.75" customHeight="1" spans="1:24">
      <c r="A25" s="15"/>
      <c r="B25" s="10" t="s">
        <v>218</v>
      </c>
      <c r="C25" s="14">
        <f t="shared" si="0"/>
        <v>463.071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463.071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</row>
    <row r="26" ht="15.75" customHeight="1" spans="1:24">
      <c r="A26" s="15"/>
      <c r="B26" s="10" t="s">
        <v>219</v>
      </c>
      <c r="C26" s="14">
        <f t="shared" si="0"/>
        <v>4.5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4.5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</row>
    <row r="27" ht="15.75" customHeight="1" spans="1:24">
      <c r="A27" s="15"/>
      <c r="B27" s="10" t="s">
        <v>220</v>
      </c>
      <c r="C27" s="14">
        <f t="shared" ref="C27:C37" si="4">SUM(D27+E27+F27+G27+H27+I27+J27+K27+L27+M27+N27+O27+P27+Q27+R27+S27+T27+U27+V27+W27+X27)</f>
        <v>4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4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</row>
    <row r="28" ht="18.75" customHeight="1" spans="1:24">
      <c r="A28" s="15"/>
      <c r="B28" s="10" t="s">
        <v>221</v>
      </c>
      <c r="C28" s="14">
        <f t="shared" si="4"/>
        <v>107.56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107.56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</row>
    <row r="29" ht="15.75" customHeight="1" spans="1:24">
      <c r="A29" s="15"/>
      <c r="B29" s="10" t="s">
        <v>222</v>
      </c>
      <c r="C29" s="14">
        <f t="shared" si="4"/>
        <v>167.4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27.22</v>
      </c>
      <c r="K29" s="14">
        <v>0</v>
      </c>
      <c r="L29" s="14">
        <v>0</v>
      </c>
      <c r="M29" s="14">
        <v>140.18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</row>
    <row r="30" ht="15.75" customHeight="1" spans="1:24">
      <c r="A30" s="15"/>
      <c r="B30" s="10" t="s">
        <v>223</v>
      </c>
      <c r="C30" s="14">
        <f t="shared" si="4"/>
        <v>18.48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18.48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</row>
    <row r="31" ht="18.75" customHeight="1" spans="1:24">
      <c r="A31" s="15"/>
      <c r="B31" s="10" t="s">
        <v>224</v>
      </c>
      <c r="C31" s="14">
        <f t="shared" si="4"/>
        <v>80.04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80.04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</row>
    <row r="32" ht="15.75" customHeight="1" spans="1:24">
      <c r="A32" s="15"/>
      <c r="B32" s="10" t="s">
        <v>225</v>
      </c>
      <c r="C32" s="14">
        <f t="shared" si="4"/>
        <v>9086.58</v>
      </c>
      <c r="D32" s="14">
        <v>0</v>
      </c>
      <c r="E32" s="14">
        <v>0</v>
      </c>
      <c r="F32" s="14">
        <v>105</v>
      </c>
      <c r="G32" s="14">
        <v>0</v>
      </c>
      <c r="H32" s="14">
        <v>0</v>
      </c>
      <c r="I32" s="14">
        <v>595</v>
      </c>
      <c r="J32" s="14">
        <v>821.44</v>
      </c>
      <c r="K32" s="14">
        <v>198.53</v>
      </c>
      <c r="L32" s="14">
        <v>0</v>
      </c>
      <c r="M32" s="14">
        <v>6986.95</v>
      </c>
      <c r="N32" s="14">
        <v>0</v>
      </c>
      <c r="O32" s="14">
        <v>0</v>
      </c>
      <c r="P32" s="14">
        <v>253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126.66</v>
      </c>
      <c r="X32" s="14">
        <v>0</v>
      </c>
    </row>
    <row r="33" spans="1:24">
      <c r="A33" s="15" t="s">
        <v>226</v>
      </c>
      <c r="B33" s="10"/>
      <c r="C33" s="73">
        <f t="shared" si="4"/>
        <v>207.8</v>
      </c>
      <c r="D33" s="73">
        <f t="shared" ref="D33:X33" si="5">SUM(D34:D35)</f>
        <v>0</v>
      </c>
      <c r="E33" s="73">
        <f t="shared" si="5"/>
        <v>0</v>
      </c>
      <c r="F33" s="73">
        <f t="shared" si="5"/>
        <v>0</v>
      </c>
      <c r="G33" s="73">
        <f t="shared" si="5"/>
        <v>0</v>
      </c>
      <c r="H33" s="73">
        <f t="shared" si="5"/>
        <v>0</v>
      </c>
      <c r="I33" s="73">
        <f t="shared" si="5"/>
        <v>0</v>
      </c>
      <c r="J33" s="73">
        <f t="shared" si="5"/>
        <v>207.8</v>
      </c>
      <c r="K33" s="73">
        <f t="shared" si="5"/>
        <v>0</v>
      </c>
      <c r="L33" s="73">
        <f t="shared" si="5"/>
        <v>0</v>
      </c>
      <c r="M33" s="73">
        <f t="shared" si="5"/>
        <v>0</v>
      </c>
      <c r="N33" s="73">
        <f t="shared" si="5"/>
        <v>0</v>
      </c>
      <c r="O33" s="73">
        <f t="shared" si="5"/>
        <v>0</v>
      </c>
      <c r="P33" s="73">
        <f t="shared" si="5"/>
        <v>0</v>
      </c>
      <c r="Q33" s="73">
        <f t="shared" si="5"/>
        <v>0</v>
      </c>
      <c r="R33" s="73">
        <f t="shared" si="5"/>
        <v>0</v>
      </c>
      <c r="S33" s="73">
        <f t="shared" si="5"/>
        <v>0</v>
      </c>
      <c r="T33" s="73">
        <f t="shared" si="5"/>
        <v>0</v>
      </c>
      <c r="U33" s="73">
        <f t="shared" si="5"/>
        <v>0</v>
      </c>
      <c r="V33" s="73">
        <f t="shared" si="5"/>
        <v>0</v>
      </c>
      <c r="W33" s="73">
        <f t="shared" si="5"/>
        <v>0</v>
      </c>
      <c r="X33" s="73">
        <f t="shared" si="5"/>
        <v>0</v>
      </c>
    </row>
    <row r="34" spans="1:24">
      <c r="A34" s="15"/>
      <c r="B34" s="10" t="s">
        <v>227</v>
      </c>
      <c r="C34" s="14">
        <f t="shared" si="4"/>
        <v>137.8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137.8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</row>
    <row r="35" spans="1:24">
      <c r="A35" s="15"/>
      <c r="B35" s="10" t="s">
        <v>228</v>
      </c>
      <c r="C35" s="14">
        <f t="shared" si="4"/>
        <v>70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70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</row>
    <row r="36" spans="1:24">
      <c r="A36" s="15" t="s">
        <v>229</v>
      </c>
      <c r="B36" s="10"/>
      <c r="C36" s="73">
        <f t="shared" si="4"/>
        <v>116.3</v>
      </c>
      <c r="D36" s="73">
        <f t="shared" ref="D36:X36" si="6">SUM(D37)</f>
        <v>0</v>
      </c>
      <c r="E36" s="73">
        <f t="shared" si="6"/>
        <v>0</v>
      </c>
      <c r="F36" s="73">
        <f t="shared" si="6"/>
        <v>0</v>
      </c>
      <c r="G36" s="73">
        <f t="shared" si="6"/>
        <v>0</v>
      </c>
      <c r="H36" s="73">
        <f t="shared" si="6"/>
        <v>0</v>
      </c>
      <c r="I36" s="73">
        <f t="shared" si="6"/>
        <v>0</v>
      </c>
      <c r="J36" s="73">
        <f t="shared" si="6"/>
        <v>0</v>
      </c>
      <c r="K36" s="73">
        <f t="shared" si="6"/>
        <v>0</v>
      </c>
      <c r="L36" s="73">
        <f t="shared" si="6"/>
        <v>0</v>
      </c>
      <c r="M36" s="73">
        <f t="shared" si="6"/>
        <v>116.3</v>
      </c>
      <c r="N36" s="73">
        <f t="shared" si="6"/>
        <v>0</v>
      </c>
      <c r="O36" s="73">
        <f t="shared" si="6"/>
        <v>0</v>
      </c>
      <c r="P36" s="73">
        <f t="shared" si="6"/>
        <v>0</v>
      </c>
      <c r="Q36" s="73">
        <f t="shared" si="6"/>
        <v>0</v>
      </c>
      <c r="R36" s="73">
        <f t="shared" si="6"/>
        <v>0</v>
      </c>
      <c r="S36" s="73">
        <f t="shared" si="6"/>
        <v>0</v>
      </c>
      <c r="T36" s="73">
        <f t="shared" si="6"/>
        <v>0</v>
      </c>
      <c r="U36" s="73">
        <f t="shared" si="6"/>
        <v>0</v>
      </c>
      <c r="V36" s="73">
        <f t="shared" si="6"/>
        <v>0</v>
      </c>
      <c r="W36" s="73">
        <f t="shared" si="6"/>
        <v>0</v>
      </c>
      <c r="X36" s="73">
        <f t="shared" si="6"/>
        <v>0</v>
      </c>
    </row>
    <row r="37" spans="1:24">
      <c r="A37" s="15"/>
      <c r="B37" s="10" t="s">
        <v>230</v>
      </c>
      <c r="C37" s="14">
        <f t="shared" si="4"/>
        <v>116.3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116.3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</row>
  </sheetData>
  <mergeCells count="5">
    <mergeCell ref="A1:X1"/>
    <mergeCell ref="C3:X3"/>
    <mergeCell ref="A5:B5"/>
    <mergeCell ref="A3:A4"/>
    <mergeCell ref="B3:B4"/>
  </mergeCells>
  <printOptions horizontalCentered="1"/>
  <pageMargins left="0.118110236220472" right="0" top="0.354330708661417" bottom="0" header="0.31496062992126" footer="0.31496062992126"/>
  <pageSetup paperSize="9" scale="6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04"/>
  <sheetViews>
    <sheetView showRuler="0" workbookViewId="0">
      <selection activeCell="M8" sqref="M8"/>
    </sheetView>
  </sheetViews>
  <sheetFormatPr defaultColWidth="5.14285714285714" defaultRowHeight="15"/>
  <cols>
    <col min="1" max="7" width="5.14285714285714" style="58"/>
    <col min="8" max="8" width="29.1428571428571" style="58" customWidth="1"/>
    <col min="9" max="9" width="10.1428571428571" style="58" customWidth="1"/>
    <col min="10" max="10" width="5.14285714285714" style="58" hidden="1" customWidth="1"/>
    <col min="11" max="11" width="10.2857142857143" style="58" customWidth="1"/>
    <col min="12" max="12" width="9.42857142857143" style="58" customWidth="1"/>
    <col min="13" max="13" width="7.14285714285714" style="58" customWidth="1"/>
    <col min="14" max="14" width="11.1428571428571" style="58" customWidth="1"/>
    <col min="15" max="15" width="10.7142857142857" style="58" customWidth="1"/>
    <col min="16" max="19" width="5.14285714285714" style="58" hidden="1" customWidth="1"/>
    <col min="20" max="20" width="9.14285714285714" style="58" customWidth="1"/>
    <col min="21" max="21" width="5.14285714285714" style="58" hidden="1" customWidth="1"/>
    <col min="22" max="22" width="9.85714285714286" style="58" customWidth="1"/>
    <col min="23" max="24" width="5.14285714285714" style="58" hidden="1" customWidth="1"/>
    <col min="25" max="25" width="6.28571428571429" style="58" hidden="1" customWidth="1"/>
    <col min="26" max="26" width="5.14285714285714" style="58" hidden="1" customWidth="1"/>
    <col min="27" max="27" width="9.28571428571429" style="58" customWidth="1"/>
    <col min="28" max="16384" width="5.14285714285714" style="58"/>
  </cols>
  <sheetData>
    <row r="1" ht="17.25" customHeight="1" spans="1:28">
      <c r="A1" s="59" t="s">
        <v>231</v>
      </c>
      <c r="B1" s="59"/>
      <c r="C1" s="60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ht="21.75" customHeight="1" spans="1:28">
      <c r="A2" s="61" t="s">
        <v>5</v>
      </c>
      <c r="B2" s="61"/>
      <c r="C2" s="61"/>
      <c r="D2" s="61"/>
      <c r="E2" s="62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75"/>
      <c r="S2" s="75"/>
      <c r="T2" s="75"/>
      <c r="U2" s="75"/>
      <c r="V2" s="75"/>
      <c r="W2" s="75"/>
      <c r="X2" s="75"/>
      <c r="Y2" s="75"/>
      <c r="Z2" s="78" t="s">
        <v>7</v>
      </c>
      <c r="AA2" s="78"/>
      <c r="AB2" s="78"/>
    </row>
    <row r="3" ht="13.5" customHeight="1" spans="1:28">
      <c r="A3" s="64" t="s">
        <v>36</v>
      </c>
      <c r="B3" s="64" t="s">
        <v>37</v>
      </c>
      <c r="C3" s="65" t="s">
        <v>232</v>
      </c>
      <c r="D3" s="65"/>
      <c r="E3" s="65"/>
      <c r="F3" s="64" t="s">
        <v>233</v>
      </c>
      <c r="G3" s="64" t="s">
        <v>234</v>
      </c>
      <c r="H3" s="64" t="s">
        <v>235</v>
      </c>
      <c r="I3" s="69" t="s">
        <v>236</v>
      </c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 t="s">
        <v>237</v>
      </c>
      <c r="AB3" s="72" t="s">
        <v>238</v>
      </c>
    </row>
    <row r="4" ht="13.5" customHeight="1" spans="1:28">
      <c r="A4" s="64"/>
      <c r="B4" s="64"/>
      <c r="C4" s="65"/>
      <c r="D4" s="65"/>
      <c r="E4" s="65"/>
      <c r="F4" s="64"/>
      <c r="G4" s="64"/>
      <c r="H4" s="64"/>
      <c r="I4" s="8" t="s">
        <v>11</v>
      </c>
      <c r="J4" s="8"/>
      <c r="K4" s="8"/>
      <c r="L4" s="8"/>
      <c r="M4" s="8"/>
      <c r="N4" s="69" t="s">
        <v>106</v>
      </c>
      <c r="O4" s="69"/>
      <c r="P4" s="69"/>
      <c r="Q4" s="69"/>
      <c r="R4" s="8" t="s">
        <v>107</v>
      </c>
      <c r="S4" s="70" t="s">
        <v>108</v>
      </c>
      <c r="T4" s="8" t="s">
        <v>109</v>
      </c>
      <c r="U4" s="8"/>
      <c r="V4" s="8"/>
      <c r="W4" s="8"/>
      <c r="X4" s="8"/>
      <c r="Y4" s="8"/>
      <c r="Z4" s="79" t="s">
        <v>110</v>
      </c>
      <c r="AA4" s="69"/>
      <c r="AB4" s="72"/>
    </row>
    <row r="5" ht="36" customHeight="1" spans="1:28">
      <c r="A5" s="64"/>
      <c r="B5" s="64"/>
      <c r="C5" s="65"/>
      <c r="D5" s="65"/>
      <c r="E5" s="65"/>
      <c r="F5" s="64"/>
      <c r="G5" s="64"/>
      <c r="H5" s="64"/>
      <c r="I5" s="70" t="s">
        <v>40</v>
      </c>
      <c r="J5" s="70" t="s">
        <v>239</v>
      </c>
      <c r="K5" s="70" t="s">
        <v>240</v>
      </c>
      <c r="L5" s="70" t="s">
        <v>241</v>
      </c>
      <c r="M5" s="70" t="s">
        <v>242</v>
      </c>
      <c r="N5" s="71" t="s">
        <v>44</v>
      </c>
      <c r="O5" s="72" t="s">
        <v>115</v>
      </c>
      <c r="P5" s="72" t="s">
        <v>151</v>
      </c>
      <c r="Q5" s="72" t="s">
        <v>117</v>
      </c>
      <c r="R5" s="8"/>
      <c r="S5" s="70"/>
      <c r="T5" s="76" t="s">
        <v>44</v>
      </c>
      <c r="U5" s="8" t="s">
        <v>118</v>
      </c>
      <c r="V5" s="8" t="s">
        <v>119</v>
      </c>
      <c r="W5" s="8" t="s">
        <v>120</v>
      </c>
      <c r="X5" s="8" t="s">
        <v>121</v>
      </c>
      <c r="Y5" s="8" t="s">
        <v>122</v>
      </c>
      <c r="Z5" s="79"/>
      <c r="AA5" s="69"/>
      <c r="AB5" s="72"/>
    </row>
    <row r="6" ht="26.25" customHeight="1" spans="1:28">
      <c r="A6" s="66" t="s">
        <v>40</v>
      </c>
      <c r="B6" s="66"/>
      <c r="C6" s="66"/>
      <c r="D6" s="66"/>
      <c r="E6" s="66"/>
      <c r="F6" s="66"/>
      <c r="G6" s="66"/>
      <c r="H6" s="66"/>
      <c r="I6" s="73">
        <v>18884.19</v>
      </c>
      <c r="J6" s="73">
        <v>0</v>
      </c>
      <c r="K6" s="73">
        <v>16824.636</v>
      </c>
      <c r="L6" s="73">
        <v>2039.554</v>
      </c>
      <c r="M6" s="73">
        <v>20</v>
      </c>
      <c r="N6" s="73">
        <v>17997.47</v>
      </c>
      <c r="O6" s="73">
        <v>17997.47</v>
      </c>
      <c r="P6" s="73">
        <v>0</v>
      </c>
      <c r="Q6" s="73">
        <v>0</v>
      </c>
      <c r="R6" s="73">
        <v>0</v>
      </c>
      <c r="S6" s="73">
        <v>0</v>
      </c>
      <c r="T6" s="73">
        <v>886.72</v>
      </c>
      <c r="U6" s="73">
        <v>0</v>
      </c>
      <c r="V6" s="73">
        <v>886.72</v>
      </c>
      <c r="W6" s="73">
        <v>0</v>
      </c>
      <c r="X6" s="73">
        <v>0</v>
      </c>
      <c r="Y6" s="73">
        <v>0</v>
      </c>
      <c r="Z6" s="73">
        <v>0</v>
      </c>
      <c r="AA6" s="73">
        <v>1307.36</v>
      </c>
      <c r="AB6" s="73"/>
    </row>
    <row r="7" ht="26.25" customHeight="1" spans="1:28">
      <c r="A7" s="67">
        <f>7-6</f>
        <v>1</v>
      </c>
      <c r="B7" s="68" t="s">
        <v>50</v>
      </c>
      <c r="C7" s="68"/>
      <c r="D7" s="68"/>
      <c r="E7" s="68"/>
      <c r="F7" s="68"/>
      <c r="G7" s="68"/>
      <c r="H7" s="68"/>
      <c r="I7" s="73">
        <f t="shared" ref="I6:I69" si="0">J7+K7+L7+M7</f>
        <v>18884.19</v>
      </c>
      <c r="J7" s="73">
        <f t="shared" ref="J7:M7" si="1">SUM(J8,J19,J54,J108,J128,J322,J334)</f>
        <v>0</v>
      </c>
      <c r="K7" s="73">
        <f t="shared" si="1"/>
        <v>16824.636</v>
      </c>
      <c r="L7" s="73">
        <f t="shared" si="1"/>
        <v>2039.554</v>
      </c>
      <c r="M7" s="73">
        <f t="shared" si="1"/>
        <v>20</v>
      </c>
      <c r="N7" s="73">
        <f t="shared" ref="N6:N69" si="2">O7+P7+Q7</f>
        <v>17997.47</v>
      </c>
      <c r="O7" s="74">
        <f t="shared" ref="O7:S7" si="3">SUM(O8,O19,O54,O108,O128,O322,O334)</f>
        <v>17997.47</v>
      </c>
      <c r="P7" s="74">
        <f t="shared" si="3"/>
        <v>0</v>
      </c>
      <c r="Q7" s="74">
        <f t="shared" si="3"/>
        <v>0</v>
      </c>
      <c r="R7" s="74">
        <f t="shared" si="3"/>
        <v>0</v>
      </c>
      <c r="S7" s="74">
        <f t="shared" si="3"/>
        <v>0</v>
      </c>
      <c r="T7" s="73">
        <f t="shared" ref="T6:T69" si="4">U7+V7+W7+X7+Y7</f>
        <v>886.72</v>
      </c>
      <c r="U7" s="74">
        <f t="shared" ref="U7:AA7" si="5">SUM(U8,U19,U54,U108,U128,U322,U334)</f>
        <v>0</v>
      </c>
      <c r="V7" s="74">
        <f t="shared" si="5"/>
        <v>886.72</v>
      </c>
      <c r="W7" s="74">
        <f t="shared" si="5"/>
        <v>0</v>
      </c>
      <c r="X7" s="77">
        <f t="shared" si="5"/>
        <v>0</v>
      </c>
      <c r="Y7" s="74">
        <f t="shared" si="5"/>
        <v>0</v>
      </c>
      <c r="Z7" s="74">
        <f t="shared" si="5"/>
        <v>0</v>
      </c>
      <c r="AA7" s="80">
        <f t="shared" si="5"/>
        <v>1307.36</v>
      </c>
      <c r="AB7" s="73"/>
    </row>
    <row r="8" ht="26.25" customHeight="1" spans="1:28">
      <c r="A8" s="67">
        <f>8-6</f>
        <v>2</v>
      </c>
      <c r="B8" s="68"/>
      <c r="C8" s="68" t="s">
        <v>123</v>
      </c>
      <c r="D8" s="68"/>
      <c r="E8" s="68"/>
      <c r="F8" s="68"/>
      <c r="G8" s="68"/>
      <c r="H8" s="68"/>
      <c r="I8" s="73">
        <f t="shared" si="0"/>
        <v>105</v>
      </c>
      <c r="J8" s="73">
        <f t="shared" ref="J8:M8" si="6">SUM(J9)</f>
        <v>0</v>
      </c>
      <c r="K8" s="73">
        <f t="shared" si="6"/>
        <v>105</v>
      </c>
      <c r="L8" s="73">
        <f t="shared" si="6"/>
        <v>0</v>
      </c>
      <c r="M8" s="73">
        <f t="shared" si="6"/>
        <v>0</v>
      </c>
      <c r="N8" s="73">
        <f t="shared" si="2"/>
        <v>105</v>
      </c>
      <c r="O8" s="73">
        <f t="shared" ref="O8:S8" si="7">SUM(O9)</f>
        <v>105</v>
      </c>
      <c r="P8" s="73">
        <f t="shared" si="7"/>
        <v>0</v>
      </c>
      <c r="Q8" s="73">
        <f t="shared" si="7"/>
        <v>0</v>
      </c>
      <c r="R8" s="73">
        <f t="shared" si="7"/>
        <v>0</v>
      </c>
      <c r="S8" s="73">
        <f t="shared" si="7"/>
        <v>0</v>
      </c>
      <c r="T8" s="73">
        <f t="shared" si="4"/>
        <v>0</v>
      </c>
      <c r="U8" s="73">
        <f t="shared" ref="U8:AA8" si="8">SUM(U9)</f>
        <v>0</v>
      </c>
      <c r="V8" s="73">
        <f t="shared" si="8"/>
        <v>0</v>
      </c>
      <c r="W8" s="73">
        <f t="shared" si="8"/>
        <v>0</v>
      </c>
      <c r="X8" s="73">
        <f t="shared" si="8"/>
        <v>0</v>
      </c>
      <c r="Y8" s="73">
        <f t="shared" si="8"/>
        <v>0</v>
      </c>
      <c r="Z8" s="73">
        <f t="shared" si="8"/>
        <v>0</v>
      </c>
      <c r="AA8" s="80">
        <f t="shared" si="8"/>
        <v>0</v>
      </c>
      <c r="AB8" s="73"/>
    </row>
    <row r="9" ht="26.25" customHeight="1" spans="1:28">
      <c r="A9" s="67">
        <f>9-6</f>
        <v>3</v>
      </c>
      <c r="B9" s="68"/>
      <c r="C9" s="68"/>
      <c r="D9" s="68" t="s">
        <v>243</v>
      </c>
      <c r="E9" s="68"/>
      <c r="F9" s="68"/>
      <c r="G9" s="68"/>
      <c r="H9" s="68"/>
      <c r="I9" s="73">
        <f t="shared" si="0"/>
        <v>105</v>
      </c>
      <c r="J9" s="73">
        <f t="shared" ref="J9:M9" si="9">SUM(J10)</f>
        <v>0</v>
      </c>
      <c r="K9" s="73">
        <f t="shared" si="9"/>
        <v>105</v>
      </c>
      <c r="L9" s="73">
        <f t="shared" si="9"/>
        <v>0</v>
      </c>
      <c r="M9" s="73">
        <f t="shared" si="9"/>
        <v>0</v>
      </c>
      <c r="N9" s="73">
        <f t="shared" si="2"/>
        <v>105</v>
      </c>
      <c r="O9" s="73">
        <f t="shared" ref="O9:S9" si="10">SUM(O10)</f>
        <v>105</v>
      </c>
      <c r="P9" s="73">
        <f t="shared" si="10"/>
        <v>0</v>
      </c>
      <c r="Q9" s="73">
        <f t="shared" si="10"/>
        <v>0</v>
      </c>
      <c r="R9" s="73">
        <f t="shared" si="10"/>
        <v>0</v>
      </c>
      <c r="S9" s="73">
        <f t="shared" si="10"/>
        <v>0</v>
      </c>
      <c r="T9" s="73">
        <f t="shared" si="4"/>
        <v>0</v>
      </c>
      <c r="U9" s="73">
        <f t="shared" ref="U9:AA9" si="11">SUM(U10)</f>
        <v>0</v>
      </c>
      <c r="V9" s="73">
        <f t="shared" si="11"/>
        <v>0</v>
      </c>
      <c r="W9" s="73">
        <f t="shared" si="11"/>
        <v>0</v>
      </c>
      <c r="X9" s="73">
        <f t="shared" si="11"/>
        <v>0</v>
      </c>
      <c r="Y9" s="73">
        <f t="shared" si="11"/>
        <v>0</v>
      </c>
      <c r="Z9" s="73">
        <f t="shared" si="11"/>
        <v>0</v>
      </c>
      <c r="AA9" s="80">
        <f t="shared" si="11"/>
        <v>0</v>
      </c>
      <c r="AB9" s="73"/>
    </row>
    <row r="10" ht="26.25" customHeight="1" spans="1:28">
      <c r="A10" s="67">
        <f>10-6</f>
        <v>4</v>
      </c>
      <c r="B10" s="68"/>
      <c r="C10" s="68"/>
      <c r="D10" s="68"/>
      <c r="E10" s="68" t="s">
        <v>59</v>
      </c>
      <c r="F10" s="68"/>
      <c r="G10" s="68"/>
      <c r="H10" s="68"/>
      <c r="I10" s="73">
        <f t="shared" si="0"/>
        <v>105</v>
      </c>
      <c r="J10" s="73">
        <f t="shared" ref="J10:M10" si="12">SUM(J11)</f>
        <v>0</v>
      </c>
      <c r="K10" s="73">
        <f t="shared" si="12"/>
        <v>105</v>
      </c>
      <c r="L10" s="73">
        <f t="shared" si="12"/>
        <v>0</v>
      </c>
      <c r="M10" s="73">
        <f t="shared" si="12"/>
        <v>0</v>
      </c>
      <c r="N10" s="73">
        <f t="shared" si="2"/>
        <v>105</v>
      </c>
      <c r="O10" s="73">
        <f t="shared" ref="O10:S10" si="13">SUM(O11)</f>
        <v>105</v>
      </c>
      <c r="P10" s="73">
        <f t="shared" si="13"/>
        <v>0</v>
      </c>
      <c r="Q10" s="73">
        <f t="shared" si="13"/>
        <v>0</v>
      </c>
      <c r="R10" s="73">
        <f t="shared" si="13"/>
        <v>0</v>
      </c>
      <c r="S10" s="73">
        <f t="shared" si="13"/>
        <v>0</v>
      </c>
      <c r="T10" s="73">
        <f t="shared" si="4"/>
        <v>0</v>
      </c>
      <c r="U10" s="73">
        <f t="shared" ref="U10:AA10" si="14">SUM(U11)</f>
        <v>0</v>
      </c>
      <c r="V10" s="73">
        <f t="shared" si="14"/>
        <v>0</v>
      </c>
      <c r="W10" s="73">
        <f t="shared" si="14"/>
        <v>0</v>
      </c>
      <c r="X10" s="73">
        <f t="shared" si="14"/>
        <v>0</v>
      </c>
      <c r="Y10" s="73">
        <f t="shared" si="14"/>
        <v>0</v>
      </c>
      <c r="Z10" s="73">
        <f t="shared" si="14"/>
        <v>0</v>
      </c>
      <c r="AA10" s="80">
        <f t="shared" si="14"/>
        <v>0</v>
      </c>
      <c r="AB10" s="73"/>
    </row>
    <row r="11" ht="26.25" customHeight="1" spans="1:28">
      <c r="A11" s="67">
        <f>11-6</f>
        <v>5</v>
      </c>
      <c r="B11" s="68"/>
      <c r="C11" s="68"/>
      <c r="D11" s="68"/>
      <c r="E11" s="68"/>
      <c r="F11" s="68" t="s">
        <v>244</v>
      </c>
      <c r="G11" s="68"/>
      <c r="H11" s="68"/>
      <c r="I11" s="73">
        <f t="shared" si="0"/>
        <v>105</v>
      </c>
      <c r="J11" s="73">
        <f t="shared" ref="J11:M11" si="15">SUM(J12)</f>
        <v>0</v>
      </c>
      <c r="K11" s="73">
        <f t="shared" si="15"/>
        <v>105</v>
      </c>
      <c r="L11" s="73">
        <f t="shared" si="15"/>
        <v>0</v>
      </c>
      <c r="M11" s="73">
        <f t="shared" si="15"/>
        <v>0</v>
      </c>
      <c r="N11" s="73">
        <f t="shared" si="2"/>
        <v>105</v>
      </c>
      <c r="O11" s="73">
        <f t="shared" ref="O11:S11" si="16">SUM(O12)</f>
        <v>105</v>
      </c>
      <c r="P11" s="73">
        <f t="shared" si="16"/>
        <v>0</v>
      </c>
      <c r="Q11" s="73">
        <f t="shared" si="16"/>
        <v>0</v>
      </c>
      <c r="R11" s="73">
        <f t="shared" si="16"/>
        <v>0</v>
      </c>
      <c r="S11" s="73">
        <f t="shared" si="16"/>
        <v>0</v>
      </c>
      <c r="T11" s="73">
        <f t="shared" si="4"/>
        <v>0</v>
      </c>
      <c r="U11" s="73">
        <f t="shared" ref="U11:AA11" si="17">SUM(U12)</f>
        <v>0</v>
      </c>
      <c r="V11" s="73">
        <f t="shared" si="17"/>
        <v>0</v>
      </c>
      <c r="W11" s="73">
        <f t="shared" si="17"/>
        <v>0</v>
      </c>
      <c r="X11" s="73">
        <f t="shared" si="17"/>
        <v>0</v>
      </c>
      <c r="Y11" s="73">
        <f t="shared" si="17"/>
        <v>0</v>
      </c>
      <c r="Z11" s="73">
        <f t="shared" si="17"/>
        <v>0</v>
      </c>
      <c r="AA11" s="80">
        <f t="shared" si="17"/>
        <v>0</v>
      </c>
      <c r="AB11" s="81" t="s">
        <v>245</v>
      </c>
    </row>
    <row r="12" ht="26.25" customHeight="1" spans="1:28">
      <c r="A12" s="67">
        <f>12-6</f>
        <v>6</v>
      </c>
      <c r="B12" s="68"/>
      <c r="C12" s="68"/>
      <c r="D12" s="68"/>
      <c r="E12" s="68"/>
      <c r="F12" s="68"/>
      <c r="G12" s="68" t="s">
        <v>246</v>
      </c>
      <c r="H12" s="68"/>
      <c r="I12" s="73">
        <f t="shared" si="0"/>
        <v>105</v>
      </c>
      <c r="J12" s="73">
        <f t="shared" ref="J12:M12" si="18">SUM(J13:J18)</f>
        <v>0</v>
      </c>
      <c r="K12" s="73">
        <f t="shared" si="18"/>
        <v>105</v>
      </c>
      <c r="L12" s="73">
        <f t="shared" si="18"/>
        <v>0</v>
      </c>
      <c r="M12" s="73">
        <f t="shared" si="18"/>
        <v>0</v>
      </c>
      <c r="N12" s="73">
        <f t="shared" si="2"/>
        <v>105</v>
      </c>
      <c r="O12" s="73">
        <f t="shared" ref="O12:S12" si="19">SUM(O13:O18)</f>
        <v>105</v>
      </c>
      <c r="P12" s="73">
        <f t="shared" si="19"/>
        <v>0</v>
      </c>
      <c r="Q12" s="73">
        <f t="shared" si="19"/>
        <v>0</v>
      </c>
      <c r="R12" s="73">
        <f t="shared" si="19"/>
        <v>0</v>
      </c>
      <c r="S12" s="73">
        <f t="shared" si="19"/>
        <v>0</v>
      </c>
      <c r="T12" s="73">
        <f t="shared" si="4"/>
        <v>0</v>
      </c>
      <c r="U12" s="73">
        <f t="shared" ref="U12:AA12" si="20">SUM(U13:U18)</f>
        <v>0</v>
      </c>
      <c r="V12" s="73">
        <f t="shared" si="20"/>
        <v>0</v>
      </c>
      <c r="W12" s="73">
        <f t="shared" si="20"/>
        <v>0</v>
      </c>
      <c r="X12" s="73">
        <f t="shared" si="20"/>
        <v>0</v>
      </c>
      <c r="Y12" s="73">
        <f t="shared" si="20"/>
        <v>0</v>
      </c>
      <c r="Z12" s="73">
        <f t="shared" si="20"/>
        <v>0</v>
      </c>
      <c r="AA12" s="80">
        <f t="shared" si="20"/>
        <v>0</v>
      </c>
      <c r="AB12" s="73"/>
    </row>
    <row r="13" ht="26.25" customHeight="1" spans="1:28">
      <c r="A13" s="67">
        <f>13-6</f>
        <v>7</v>
      </c>
      <c r="B13" s="68"/>
      <c r="C13" s="68"/>
      <c r="D13" s="68"/>
      <c r="E13" s="68"/>
      <c r="F13" s="68"/>
      <c r="G13" s="68"/>
      <c r="H13" s="68" t="s">
        <v>247</v>
      </c>
      <c r="I13" s="73">
        <f t="shared" si="0"/>
        <v>5</v>
      </c>
      <c r="J13" s="73"/>
      <c r="K13" s="73">
        <v>5</v>
      </c>
      <c r="L13" s="73"/>
      <c r="M13" s="73"/>
      <c r="N13" s="73">
        <f t="shared" si="2"/>
        <v>5</v>
      </c>
      <c r="O13" s="73">
        <v>5</v>
      </c>
      <c r="P13" s="73"/>
      <c r="Q13" s="73"/>
      <c r="R13" s="73"/>
      <c r="S13" s="73"/>
      <c r="T13" s="73">
        <f t="shared" si="4"/>
        <v>0</v>
      </c>
      <c r="U13" s="73"/>
      <c r="V13" s="73"/>
      <c r="W13" s="73"/>
      <c r="X13" s="73"/>
      <c r="Y13" s="73"/>
      <c r="Z13" s="73"/>
      <c r="AA13" s="80"/>
      <c r="AB13" s="73"/>
    </row>
    <row r="14" ht="26.25" customHeight="1" spans="1:28">
      <c r="A14" s="67">
        <f>14-6</f>
        <v>8</v>
      </c>
      <c r="B14" s="68"/>
      <c r="C14" s="68"/>
      <c r="D14" s="68"/>
      <c r="E14" s="68"/>
      <c r="F14" s="68"/>
      <c r="G14" s="68"/>
      <c r="H14" s="68" t="s">
        <v>248</v>
      </c>
      <c r="I14" s="73">
        <f t="shared" si="0"/>
        <v>30</v>
      </c>
      <c r="J14" s="73"/>
      <c r="K14" s="73">
        <v>30</v>
      </c>
      <c r="L14" s="73"/>
      <c r="M14" s="73"/>
      <c r="N14" s="73">
        <f t="shared" si="2"/>
        <v>30</v>
      </c>
      <c r="O14" s="73">
        <v>30</v>
      </c>
      <c r="P14" s="73"/>
      <c r="Q14" s="73"/>
      <c r="R14" s="73"/>
      <c r="S14" s="73"/>
      <c r="T14" s="73">
        <f t="shared" si="4"/>
        <v>0</v>
      </c>
      <c r="U14" s="73"/>
      <c r="V14" s="73"/>
      <c r="W14" s="73"/>
      <c r="X14" s="73"/>
      <c r="Y14" s="73"/>
      <c r="Z14" s="73"/>
      <c r="AA14" s="80"/>
      <c r="AB14" s="73"/>
    </row>
    <row r="15" ht="26.25" customHeight="1" spans="1:28">
      <c r="A15" s="67">
        <f>15-6</f>
        <v>9</v>
      </c>
      <c r="B15" s="68"/>
      <c r="C15" s="68"/>
      <c r="D15" s="68"/>
      <c r="E15" s="68"/>
      <c r="F15" s="68"/>
      <c r="G15" s="68"/>
      <c r="H15" s="68" t="s">
        <v>249</v>
      </c>
      <c r="I15" s="73">
        <f t="shared" si="0"/>
        <v>8</v>
      </c>
      <c r="J15" s="73"/>
      <c r="K15" s="73">
        <v>8</v>
      </c>
      <c r="L15" s="73"/>
      <c r="M15" s="73"/>
      <c r="N15" s="73">
        <f t="shared" si="2"/>
        <v>8</v>
      </c>
      <c r="O15" s="73">
        <v>8</v>
      </c>
      <c r="P15" s="73"/>
      <c r="Q15" s="73"/>
      <c r="R15" s="73"/>
      <c r="S15" s="73"/>
      <c r="T15" s="73">
        <f t="shared" si="4"/>
        <v>0</v>
      </c>
      <c r="U15" s="73"/>
      <c r="V15" s="73"/>
      <c r="W15" s="73"/>
      <c r="X15" s="73"/>
      <c r="Y15" s="73"/>
      <c r="Z15" s="73"/>
      <c r="AA15" s="80"/>
      <c r="AB15" s="73"/>
    </row>
    <row r="16" ht="26.25" customHeight="1" spans="1:28">
      <c r="A16" s="67">
        <f>16-6</f>
        <v>10</v>
      </c>
      <c r="B16" s="68"/>
      <c r="C16" s="68"/>
      <c r="D16" s="68"/>
      <c r="E16" s="68"/>
      <c r="F16" s="68"/>
      <c r="G16" s="68"/>
      <c r="H16" s="68" t="s">
        <v>250</v>
      </c>
      <c r="I16" s="73">
        <f t="shared" si="0"/>
        <v>26</v>
      </c>
      <c r="J16" s="73"/>
      <c r="K16" s="73">
        <v>26</v>
      </c>
      <c r="L16" s="73"/>
      <c r="M16" s="73"/>
      <c r="N16" s="73">
        <f t="shared" si="2"/>
        <v>26</v>
      </c>
      <c r="O16" s="73">
        <v>26</v>
      </c>
      <c r="P16" s="73"/>
      <c r="Q16" s="73"/>
      <c r="R16" s="73"/>
      <c r="S16" s="73"/>
      <c r="T16" s="73">
        <f t="shared" si="4"/>
        <v>0</v>
      </c>
      <c r="U16" s="73"/>
      <c r="V16" s="73"/>
      <c r="W16" s="73"/>
      <c r="X16" s="73"/>
      <c r="Y16" s="73"/>
      <c r="Z16" s="73"/>
      <c r="AA16" s="80"/>
      <c r="AB16" s="73"/>
    </row>
    <row r="17" ht="26.25" customHeight="1" spans="1:28">
      <c r="A17" s="67">
        <f>17-6</f>
        <v>11</v>
      </c>
      <c r="B17" s="68"/>
      <c r="C17" s="68"/>
      <c r="D17" s="68"/>
      <c r="E17" s="68"/>
      <c r="F17" s="68"/>
      <c r="G17" s="68"/>
      <c r="H17" s="68" t="s">
        <v>251</v>
      </c>
      <c r="I17" s="73">
        <f t="shared" si="0"/>
        <v>12</v>
      </c>
      <c r="J17" s="73"/>
      <c r="K17" s="73">
        <v>12</v>
      </c>
      <c r="L17" s="73"/>
      <c r="M17" s="73"/>
      <c r="N17" s="73">
        <f t="shared" si="2"/>
        <v>12</v>
      </c>
      <c r="O17" s="73">
        <v>12</v>
      </c>
      <c r="P17" s="73"/>
      <c r="Q17" s="73"/>
      <c r="R17" s="73"/>
      <c r="S17" s="73"/>
      <c r="T17" s="73">
        <f t="shared" si="4"/>
        <v>0</v>
      </c>
      <c r="U17" s="73"/>
      <c r="V17" s="73"/>
      <c r="W17" s="73"/>
      <c r="X17" s="73"/>
      <c r="Y17" s="73"/>
      <c r="Z17" s="73"/>
      <c r="AA17" s="80"/>
      <c r="AB17" s="73"/>
    </row>
    <row r="18" ht="26.25" customHeight="1" spans="1:28">
      <c r="A18" s="67">
        <f>18-6</f>
        <v>12</v>
      </c>
      <c r="B18" s="68"/>
      <c r="C18" s="68"/>
      <c r="D18" s="68"/>
      <c r="E18" s="68"/>
      <c r="F18" s="68"/>
      <c r="G18" s="68"/>
      <c r="H18" s="68" t="s">
        <v>252</v>
      </c>
      <c r="I18" s="73">
        <f t="shared" si="0"/>
        <v>24</v>
      </c>
      <c r="J18" s="73"/>
      <c r="K18" s="73">
        <v>24</v>
      </c>
      <c r="L18" s="73"/>
      <c r="M18" s="73"/>
      <c r="N18" s="73">
        <f t="shared" si="2"/>
        <v>24</v>
      </c>
      <c r="O18" s="73">
        <v>24</v>
      </c>
      <c r="P18" s="73"/>
      <c r="Q18" s="73"/>
      <c r="R18" s="73"/>
      <c r="S18" s="73"/>
      <c r="T18" s="73">
        <f t="shared" si="4"/>
        <v>0</v>
      </c>
      <c r="U18" s="73"/>
      <c r="V18" s="73"/>
      <c r="W18" s="73"/>
      <c r="X18" s="73"/>
      <c r="Y18" s="73"/>
      <c r="Z18" s="73"/>
      <c r="AA18" s="80"/>
      <c r="AB18" s="73"/>
    </row>
    <row r="19" ht="26.25" customHeight="1" spans="1:28">
      <c r="A19" s="67">
        <f>19-6</f>
        <v>13</v>
      </c>
      <c r="B19" s="68"/>
      <c r="C19" s="68" t="s">
        <v>125</v>
      </c>
      <c r="D19" s="68"/>
      <c r="E19" s="68"/>
      <c r="F19" s="68"/>
      <c r="G19" s="68"/>
      <c r="H19" s="68"/>
      <c r="I19" s="73">
        <f t="shared" si="0"/>
        <v>595</v>
      </c>
      <c r="J19" s="73">
        <f t="shared" ref="J19:M19" si="21">SUM(J20)</f>
        <v>0</v>
      </c>
      <c r="K19" s="73">
        <f t="shared" si="21"/>
        <v>595</v>
      </c>
      <c r="L19" s="73">
        <f t="shared" si="21"/>
        <v>0</v>
      </c>
      <c r="M19" s="73">
        <f t="shared" si="21"/>
        <v>0</v>
      </c>
      <c r="N19" s="73">
        <f t="shared" si="2"/>
        <v>595</v>
      </c>
      <c r="O19" s="73">
        <f t="shared" ref="O19:S19" si="22">SUM(O20)</f>
        <v>595</v>
      </c>
      <c r="P19" s="73">
        <f t="shared" si="22"/>
        <v>0</v>
      </c>
      <c r="Q19" s="73">
        <f t="shared" si="22"/>
        <v>0</v>
      </c>
      <c r="R19" s="73">
        <f t="shared" si="22"/>
        <v>0</v>
      </c>
      <c r="S19" s="73">
        <f t="shared" si="22"/>
        <v>0</v>
      </c>
      <c r="T19" s="73">
        <f t="shared" si="4"/>
        <v>0</v>
      </c>
      <c r="U19" s="73">
        <f t="shared" ref="U19:AA19" si="23">SUM(U20)</f>
        <v>0</v>
      </c>
      <c r="V19" s="73">
        <f t="shared" si="23"/>
        <v>0</v>
      </c>
      <c r="W19" s="73">
        <f t="shared" si="23"/>
        <v>0</v>
      </c>
      <c r="X19" s="73">
        <f t="shared" si="23"/>
        <v>0</v>
      </c>
      <c r="Y19" s="73">
        <f t="shared" si="23"/>
        <v>0</v>
      </c>
      <c r="Z19" s="73">
        <f t="shared" si="23"/>
        <v>0</v>
      </c>
      <c r="AA19" s="80">
        <f t="shared" si="23"/>
        <v>0</v>
      </c>
      <c r="AB19" s="73"/>
    </row>
    <row r="20" ht="26.25" customHeight="1" spans="1:28">
      <c r="A20" s="67">
        <f>20-6</f>
        <v>14</v>
      </c>
      <c r="B20" s="68"/>
      <c r="C20" s="68"/>
      <c r="D20" s="68" t="s">
        <v>253</v>
      </c>
      <c r="E20" s="68"/>
      <c r="F20" s="68"/>
      <c r="G20" s="68"/>
      <c r="H20" s="68"/>
      <c r="I20" s="73">
        <f t="shared" si="0"/>
        <v>595</v>
      </c>
      <c r="J20" s="73">
        <f t="shared" ref="J20:M20" si="24">SUM(J21)</f>
        <v>0</v>
      </c>
      <c r="K20" s="73">
        <f t="shared" si="24"/>
        <v>595</v>
      </c>
      <c r="L20" s="73">
        <f t="shared" si="24"/>
        <v>0</v>
      </c>
      <c r="M20" s="73">
        <f t="shared" si="24"/>
        <v>0</v>
      </c>
      <c r="N20" s="73">
        <f t="shared" si="2"/>
        <v>595</v>
      </c>
      <c r="O20" s="73">
        <f t="shared" ref="O20:S20" si="25">SUM(O21)</f>
        <v>595</v>
      </c>
      <c r="P20" s="73">
        <f t="shared" si="25"/>
        <v>0</v>
      </c>
      <c r="Q20" s="73">
        <f t="shared" si="25"/>
        <v>0</v>
      </c>
      <c r="R20" s="73">
        <f t="shared" si="25"/>
        <v>0</v>
      </c>
      <c r="S20" s="73">
        <f t="shared" si="25"/>
        <v>0</v>
      </c>
      <c r="T20" s="73">
        <f t="shared" si="4"/>
        <v>0</v>
      </c>
      <c r="U20" s="73">
        <f t="shared" ref="U20:AA20" si="26">SUM(U21)</f>
        <v>0</v>
      </c>
      <c r="V20" s="73">
        <f t="shared" si="26"/>
        <v>0</v>
      </c>
      <c r="W20" s="73">
        <f t="shared" si="26"/>
        <v>0</v>
      </c>
      <c r="X20" s="73">
        <f t="shared" si="26"/>
        <v>0</v>
      </c>
      <c r="Y20" s="73">
        <f t="shared" si="26"/>
        <v>0</v>
      </c>
      <c r="Z20" s="73">
        <f t="shared" si="26"/>
        <v>0</v>
      </c>
      <c r="AA20" s="80">
        <f t="shared" si="26"/>
        <v>0</v>
      </c>
      <c r="AB20" s="73"/>
    </row>
    <row r="21" ht="26.25" customHeight="1" spans="1:28">
      <c r="A21" s="67">
        <f>21-6</f>
        <v>15</v>
      </c>
      <c r="B21" s="68"/>
      <c r="C21" s="68"/>
      <c r="D21" s="68"/>
      <c r="E21" s="68" t="s">
        <v>60</v>
      </c>
      <c r="F21" s="68"/>
      <c r="G21" s="68"/>
      <c r="H21" s="68"/>
      <c r="I21" s="73">
        <f t="shared" si="0"/>
        <v>595</v>
      </c>
      <c r="J21" s="73">
        <f t="shared" ref="J21:M21" si="27">SUM(J22)</f>
        <v>0</v>
      </c>
      <c r="K21" s="73">
        <f t="shared" si="27"/>
        <v>595</v>
      </c>
      <c r="L21" s="73">
        <f t="shared" si="27"/>
        <v>0</v>
      </c>
      <c r="M21" s="73">
        <f t="shared" si="27"/>
        <v>0</v>
      </c>
      <c r="N21" s="73">
        <f t="shared" si="2"/>
        <v>595</v>
      </c>
      <c r="O21" s="73">
        <f t="shared" ref="O21:S21" si="28">SUM(O22)</f>
        <v>595</v>
      </c>
      <c r="P21" s="73">
        <f t="shared" si="28"/>
        <v>0</v>
      </c>
      <c r="Q21" s="73">
        <f t="shared" si="28"/>
        <v>0</v>
      </c>
      <c r="R21" s="73">
        <f t="shared" si="28"/>
        <v>0</v>
      </c>
      <c r="S21" s="73">
        <f t="shared" si="28"/>
        <v>0</v>
      </c>
      <c r="T21" s="73">
        <f t="shared" si="4"/>
        <v>0</v>
      </c>
      <c r="U21" s="73">
        <f t="shared" ref="U21:AA21" si="29">SUM(U22)</f>
        <v>0</v>
      </c>
      <c r="V21" s="73">
        <f t="shared" si="29"/>
        <v>0</v>
      </c>
      <c r="W21" s="73">
        <f t="shared" si="29"/>
        <v>0</v>
      </c>
      <c r="X21" s="73">
        <f t="shared" si="29"/>
        <v>0</v>
      </c>
      <c r="Y21" s="73">
        <f t="shared" si="29"/>
        <v>0</v>
      </c>
      <c r="Z21" s="73">
        <f t="shared" si="29"/>
        <v>0</v>
      </c>
      <c r="AA21" s="80">
        <f t="shared" si="29"/>
        <v>0</v>
      </c>
      <c r="AB21" s="73"/>
    </row>
    <row r="22" ht="26.25" customHeight="1" spans="1:28">
      <c r="A22" s="67">
        <f>22-6</f>
        <v>16</v>
      </c>
      <c r="B22" s="68"/>
      <c r="C22" s="68"/>
      <c r="D22" s="68"/>
      <c r="E22" s="68"/>
      <c r="F22" s="68" t="s">
        <v>254</v>
      </c>
      <c r="G22" s="68"/>
      <c r="H22" s="68"/>
      <c r="I22" s="73">
        <f t="shared" si="0"/>
        <v>595</v>
      </c>
      <c r="J22" s="73">
        <f t="shared" ref="J22:M22" si="30">SUM(J23,J32,J44,J47)</f>
        <v>0</v>
      </c>
      <c r="K22" s="73">
        <f t="shared" si="30"/>
        <v>595</v>
      </c>
      <c r="L22" s="73">
        <f t="shared" si="30"/>
        <v>0</v>
      </c>
      <c r="M22" s="73">
        <f t="shared" si="30"/>
        <v>0</v>
      </c>
      <c r="N22" s="73">
        <f t="shared" si="2"/>
        <v>595</v>
      </c>
      <c r="O22" s="73">
        <f t="shared" ref="O22:S22" si="31">SUM(O23,O32,O44,O47)</f>
        <v>595</v>
      </c>
      <c r="P22" s="73">
        <f t="shared" si="31"/>
        <v>0</v>
      </c>
      <c r="Q22" s="73">
        <f t="shared" si="31"/>
        <v>0</v>
      </c>
      <c r="R22" s="73">
        <f t="shared" si="31"/>
        <v>0</v>
      </c>
      <c r="S22" s="73">
        <f t="shared" si="31"/>
        <v>0</v>
      </c>
      <c r="T22" s="73">
        <f t="shared" si="4"/>
        <v>0</v>
      </c>
      <c r="U22" s="73">
        <f t="shared" ref="U22:AA22" si="32">SUM(U23,U32,U44,U47)</f>
        <v>0</v>
      </c>
      <c r="V22" s="73">
        <f t="shared" si="32"/>
        <v>0</v>
      </c>
      <c r="W22" s="73">
        <f t="shared" si="32"/>
        <v>0</v>
      </c>
      <c r="X22" s="73">
        <f t="shared" si="32"/>
        <v>0</v>
      </c>
      <c r="Y22" s="73">
        <f t="shared" si="32"/>
        <v>0</v>
      </c>
      <c r="Z22" s="73">
        <f t="shared" si="32"/>
        <v>0</v>
      </c>
      <c r="AA22" s="80">
        <f t="shared" si="32"/>
        <v>0</v>
      </c>
      <c r="AB22" s="81" t="s">
        <v>245</v>
      </c>
    </row>
    <row r="23" ht="26.25" customHeight="1" spans="1:28">
      <c r="A23" s="67">
        <f>23-6</f>
        <v>17</v>
      </c>
      <c r="B23" s="68"/>
      <c r="C23" s="68"/>
      <c r="D23" s="68"/>
      <c r="E23" s="68"/>
      <c r="F23" s="68"/>
      <c r="G23" s="68" t="s">
        <v>255</v>
      </c>
      <c r="H23" s="68"/>
      <c r="I23" s="73">
        <f t="shared" si="0"/>
        <v>266.5</v>
      </c>
      <c r="J23" s="73">
        <f t="shared" ref="J23:M23" si="33">SUM(J24:J31)</f>
        <v>0</v>
      </c>
      <c r="K23" s="73">
        <f t="shared" si="33"/>
        <v>266.5</v>
      </c>
      <c r="L23" s="73">
        <f t="shared" si="33"/>
        <v>0</v>
      </c>
      <c r="M23" s="73">
        <f t="shared" si="33"/>
        <v>0</v>
      </c>
      <c r="N23" s="73">
        <f t="shared" si="2"/>
        <v>266.5</v>
      </c>
      <c r="O23" s="73">
        <f t="shared" ref="O23:S23" si="34">SUM(O24:O31)</f>
        <v>266.5</v>
      </c>
      <c r="P23" s="73">
        <f t="shared" si="34"/>
        <v>0</v>
      </c>
      <c r="Q23" s="73">
        <f t="shared" si="34"/>
        <v>0</v>
      </c>
      <c r="R23" s="73">
        <f t="shared" si="34"/>
        <v>0</v>
      </c>
      <c r="S23" s="73">
        <f t="shared" si="34"/>
        <v>0</v>
      </c>
      <c r="T23" s="73">
        <f t="shared" si="4"/>
        <v>0</v>
      </c>
      <c r="U23" s="73">
        <f t="shared" ref="U23:AA23" si="35">SUM(U24:U31)</f>
        <v>0</v>
      </c>
      <c r="V23" s="73">
        <f t="shared" si="35"/>
        <v>0</v>
      </c>
      <c r="W23" s="73">
        <f t="shared" si="35"/>
        <v>0</v>
      </c>
      <c r="X23" s="73">
        <f t="shared" si="35"/>
        <v>0</v>
      </c>
      <c r="Y23" s="73">
        <f t="shared" si="35"/>
        <v>0</v>
      </c>
      <c r="Z23" s="73">
        <f t="shared" si="35"/>
        <v>0</v>
      </c>
      <c r="AA23" s="80">
        <f t="shared" si="35"/>
        <v>0</v>
      </c>
      <c r="AB23" s="73"/>
    </row>
    <row r="24" ht="26.25" customHeight="1" spans="1:28">
      <c r="A24" s="67">
        <f>24-6</f>
        <v>18</v>
      </c>
      <c r="B24" s="68"/>
      <c r="C24" s="68"/>
      <c r="D24" s="68"/>
      <c r="E24" s="68"/>
      <c r="F24" s="68"/>
      <c r="G24" s="68"/>
      <c r="H24" s="68" t="s">
        <v>256</v>
      </c>
      <c r="I24" s="73">
        <f t="shared" si="0"/>
        <v>6</v>
      </c>
      <c r="J24" s="73"/>
      <c r="K24" s="73">
        <v>6</v>
      </c>
      <c r="L24" s="73"/>
      <c r="M24" s="73"/>
      <c r="N24" s="73">
        <f t="shared" si="2"/>
        <v>6</v>
      </c>
      <c r="O24" s="73">
        <v>6</v>
      </c>
      <c r="P24" s="73"/>
      <c r="Q24" s="73"/>
      <c r="R24" s="73"/>
      <c r="S24" s="73"/>
      <c r="T24" s="73">
        <f t="shared" si="4"/>
        <v>0</v>
      </c>
      <c r="U24" s="73"/>
      <c r="V24" s="73"/>
      <c r="W24" s="73"/>
      <c r="X24" s="73"/>
      <c r="Y24" s="73"/>
      <c r="Z24" s="73"/>
      <c r="AA24" s="80"/>
      <c r="AB24" s="73"/>
    </row>
    <row r="25" ht="26.25" customHeight="1" spans="1:28">
      <c r="A25" s="67">
        <f>25-6</f>
        <v>19</v>
      </c>
      <c r="B25" s="68"/>
      <c r="C25" s="68"/>
      <c r="D25" s="68"/>
      <c r="E25" s="68"/>
      <c r="F25" s="68"/>
      <c r="G25" s="68"/>
      <c r="H25" s="68" t="s">
        <v>257</v>
      </c>
      <c r="I25" s="73">
        <f t="shared" si="0"/>
        <v>45</v>
      </c>
      <c r="J25" s="73"/>
      <c r="K25" s="73">
        <v>45</v>
      </c>
      <c r="L25" s="73"/>
      <c r="M25" s="73"/>
      <c r="N25" s="73">
        <f t="shared" si="2"/>
        <v>45</v>
      </c>
      <c r="O25" s="73">
        <v>45</v>
      </c>
      <c r="P25" s="73"/>
      <c r="Q25" s="73"/>
      <c r="R25" s="73"/>
      <c r="S25" s="73"/>
      <c r="T25" s="73">
        <f t="shared" si="4"/>
        <v>0</v>
      </c>
      <c r="U25" s="73"/>
      <c r="V25" s="73"/>
      <c r="W25" s="73"/>
      <c r="X25" s="73"/>
      <c r="Y25" s="73"/>
      <c r="Z25" s="73"/>
      <c r="AA25" s="80"/>
      <c r="AB25" s="73"/>
    </row>
    <row r="26" ht="26.25" customHeight="1" spans="1:28">
      <c r="A26" s="67">
        <f>26-6</f>
        <v>20</v>
      </c>
      <c r="B26" s="68"/>
      <c r="C26" s="68"/>
      <c r="D26" s="68"/>
      <c r="E26" s="68"/>
      <c r="F26" s="68"/>
      <c r="G26" s="68"/>
      <c r="H26" s="68" t="s">
        <v>258</v>
      </c>
      <c r="I26" s="73">
        <f t="shared" si="0"/>
        <v>34</v>
      </c>
      <c r="J26" s="73"/>
      <c r="K26" s="73">
        <v>34</v>
      </c>
      <c r="L26" s="73"/>
      <c r="M26" s="73"/>
      <c r="N26" s="73">
        <f t="shared" si="2"/>
        <v>34</v>
      </c>
      <c r="O26" s="73">
        <v>34</v>
      </c>
      <c r="P26" s="73"/>
      <c r="Q26" s="73"/>
      <c r="R26" s="73"/>
      <c r="S26" s="73"/>
      <c r="T26" s="73">
        <f t="shared" si="4"/>
        <v>0</v>
      </c>
      <c r="U26" s="73"/>
      <c r="V26" s="73"/>
      <c r="W26" s="73"/>
      <c r="X26" s="73"/>
      <c r="Y26" s="73"/>
      <c r="Z26" s="73"/>
      <c r="AA26" s="80"/>
      <c r="AB26" s="73"/>
    </row>
    <row r="27" ht="26.25" customHeight="1" spans="1:28">
      <c r="A27" s="67">
        <f>27-6</f>
        <v>21</v>
      </c>
      <c r="B27" s="68"/>
      <c r="C27" s="68"/>
      <c r="D27" s="68"/>
      <c r="E27" s="68"/>
      <c r="F27" s="68"/>
      <c r="G27" s="68"/>
      <c r="H27" s="68" t="s">
        <v>259</v>
      </c>
      <c r="I27" s="73">
        <f t="shared" si="0"/>
        <v>28.5</v>
      </c>
      <c r="J27" s="73"/>
      <c r="K27" s="73">
        <v>28.5</v>
      </c>
      <c r="L27" s="73"/>
      <c r="M27" s="73"/>
      <c r="N27" s="73">
        <f t="shared" si="2"/>
        <v>28.5</v>
      </c>
      <c r="O27" s="73">
        <v>28.5</v>
      </c>
      <c r="P27" s="73"/>
      <c r="Q27" s="73"/>
      <c r="R27" s="73"/>
      <c r="S27" s="73"/>
      <c r="T27" s="73">
        <f t="shared" si="4"/>
        <v>0</v>
      </c>
      <c r="U27" s="73"/>
      <c r="V27" s="73"/>
      <c r="W27" s="73"/>
      <c r="X27" s="73"/>
      <c r="Y27" s="73"/>
      <c r="Z27" s="73"/>
      <c r="AA27" s="80"/>
      <c r="AB27" s="73"/>
    </row>
    <row r="28" ht="26.25" customHeight="1" spans="1:28">
      <c r="A28" s="67">
        <f>28-6</f>
        <v>22</v>
      </c>
      <c r="B28" s="68"/>
      <c r="C28" s="68"/>
      <c r="D28" s="68"/>
      <c r="E28" s="68"/>
      <c r="F28" s="68"/>
      <c r="G28" s="68"/>
      <c r="H28" s="68" t="s">
        <v>260</v>
      </c>
      <c r="I28" s="73">
        <f t="shared" si="0"/>
        <v>4.5</v>
      </c>
      <c r="J28" s="73"/>
      <c r="K28" s="73">
        <v>4.5</v>
      </c>
      <c r="L28" s="73"/>
      <c r="M28" s="73"/>
      <c r="N28" s="73">
        <f t="shared" si="2"/>
        <v>4.5</v>
      </c>
      <c r="O28" s="73">
        <v>4.5</v>
      </c>
      <c r="P28" s="73"/>
      <c r="Q28" s="73"/>
      <c r="R28" s="73"/>
      <c r="S28" s="73"/>
      <c r="T28" s="73">
        <f t="shared" si="4"/>
        <v>0</v>
      </c>
      <c r="U28" s="73"/>
      <c r="V28" s="73"/>
      <c r="W28" s="73"/>
      <c r="X28" s="73"/>
      <c r="Y28" s="73"/>
      <c r="Z28" s="73"/>
      <c r="AA28" s="80"/>
      <c r="AB28" s="73"/>
    </row>
    <row r="29" ht="26.25" customHeight="1" spans="1:28">
      <c r="A29" s="67">
        <f>29-6</f>
        <v>23</v>
      </c>
      <c r="B29" s="68"/>
      <c r="C29" s="68"/>
      <c r="D29" s="68"/>
      <c r="E29" s="68"/>
      <c r="F29" s="68"/>
      <c r="G29" s="68"/>
      <c r="H29" s="68" t="s">
        <v>261</v>
      </c>
      <c r="I29" s="73">
        <f t="shared" si="0"/>
        <v>13.5</v>
      </c>
      <c r="J29" s="73"/>
      <c r="K29" s="73">
        <v>13.5</v>
      </c>
      <c r="L29" s="73"/>
      <c r="M29" s="73"/>
      <c r="N29" s="73">
        <f t="shared" si="2"/>
        <v>13.5</v>
      </c>
      <c r="O29" s="73">
        <v>13.5</v>
      </c>
      <c r="P29" s="73"/>
      <c r="Q29" s="73"/>
      <c r="R29" s="73"/>
      <c r="S29" s="73"/>
      <c r="T29" s="73">
        <f t="shared" si="4"/>
        <v>0</v>
      </c>
      <c r="U29" s="73"/>
      <c r="V29" s="73"/>
      <c r="W29" s="73"/>
      <c r="X29" s="73"/>
      <c r="Y29" s="73"/>
      <c r="Z29" s="73"/>
      <c r="AA29" s="80"/>
      <c r="AB29" s="73"/>
    </row>
    <row r="30" ht="26.25" customHeight="1" spans="1:28">
      <c r="A30" s="67">
        <f>30-6</f>
        <v>24</v>
      </c>
      <c r="B30" s="68"/>
      <c r="C30" s="68"/>
      <c r="D30" s="68"/>
      <c r="E30" s="68"/>
      <c r="F30" s="68"/>
      <c r="G30" s="68"/>
      <c r="H30" s="68" t="s">
        <v>262</v>
      </c>
      <c r="I30" s="73">
        <f t="shared" si="0"/>
        <v>55</v>
      </c>
      <c r="J30" s="73"/>
      <c r="K30" s="73">
        <v>55</v>
      </c>
      <c r="L30" s="73"/>
      <c r="M30" s="73"/>
      <c r="N30" s="73">
        <f t="shared" si="2"/>
        <v>55</v>
      </c>
      <c r="O30" s="73">
        <v>55</v>
      </c>
      <c r="P30" s="73"/>
      <c r="Q30" s="73"/>
      <c r="R30" s="73"/>
      <c r="S30" s="73"/>
      <c r="T30" s="73">
        <f t="shared" si="4"/>
        <v>0</v>
      </c>
      <c r="U30" s="73"/>
      <c r="V30" s="73"/>
      <c r="W30" s="73"/>
      <c r="X30" s="73"/>
      <c r="Y30" s="73"/>
      <c r="Z30" s="73"/>
      <c r="AA30" s="80"/>
      <c r="AB30" s="73"/>
    </row>
    <row r="31" ht="26.25" customHeight="1" spans="1:28">
      <c r="A31" s="67">
        <f>31-6</f>
        <v>25</v>
      </c>
      <c r="B31" s="68"/>
      <c r="C31" s="68"/>
      <c r="D31" s="68"/>
      <c r="E31" s="68"/>
      <c r="F31" s="68"/>
      <c r="G31" s="68"/>
      <c r="H31" s="68" t="s">
        <v>263</v>
      </c>
      <c r="I31" s="73">
        <f t="shared" si="0"/>
        <v>80</v>
      </c>
      <c r="J31" s="73"/>
      <c r="K31" s="73">
        <v>80</v>
      </c>
      <c r="L31" s="73"/>
      <c r="M31" s="73"/>
      <c r="N31" s="73">
        <f t="shared" si="2"/>
        <v>80</v>
      </c>
      <c r="O31" s="73">
        <v>80</v>
      </c>
      <c r="P31" s="73"/>
      <c r="Q31" s="73"/>
      <c r="R31" s="73"/>
      <c r="S31" s="73"/>
      <c r="T31" s="73">
        <f t="shared" si="4"/>
        <v>0</v>
      </c>
      <c r="U31" s="73"/>
      <c r="V31" s="73"/>
      <c r="W31" s="73"/>
      <c r="X31" s="73"/>
      <c r="Y31" s="73"/>
      <c r="Z31" s="73"/>
      <c r="AA31" s="80"/>
      <c r="AB31" s="73"/>
    </row>
    <row r="32" ht="26.25" customHeight="1" spans="1:28">
      <c r="A32" s="67">
        <f>32-6</f>
        <v>26</v>
      </c>
      <c r="B32" s="68"/>
      <c r="C32" s="68"/>
      <c r="D32" s="68"/>
      <c r="E32" s="68"/>
      <c r="F32" s="68"/>
      <c r="G32" s="68" t="s">
        <v>264</v>
      </c>
      <c r="H32" s="68"/>
      <c r="I32" s="73">
        <f t="shared" si="0"/>
        <v>192.9</v>
      </c>
      <c r="J32" s="73">
        <f t="shared" ref="J32:M32" si="36">SUM(J33:J43)</f>
        <v>0</v>
      </c>
      <c r="K32" s="73">
        <f t="shared" si="36"/>
        <v>192.9</v>
      </c>
      <c r="L32" s="73">
        <f t="shared" si="36"/>
        <v>0</v>
      </c>
      <c r="M32" s="73">
        <f t="shared" si="36"/>
        <v>0</v>
      </c>
      <c r="N32" s="73">
        <f t="shared" si="2"/>
        <v>192.9</v>
      </c>
      <c r="O32" s="73">
        <f t="shared" ref="O32:S32" si="37">SUM(O33:O43)</f>
        <v>192.9</v>
      </c>
      <c r="P32" s="73">
        <f t="shared" si="37"/>
        <v>0</v>
      </c>
      <c r="Q32" s="73">
        <f t="shared" si="37"/>
        <v>0</v>
      </c>
      <c r="R32" s="73">
        <f t="shared" si="37"/>
        <v>0</v>
      </c>
      <c r="S32" s="73">
        <f t="shared" si="37"/>
        <v>0</v>
      </c>
      <c r="T32" s="73">
        <f t="shared" si="4"/>
        <v>0</v>
      </c>
      <c r="U32" s="73">
        <f t="shared" ref="U32:AA32" si="38">SUM(U33:U43)</f>
        <v>0</v>
      </c>
      <c r="V32" s="73">
        <f t="shared" si="38"/>
        <v>0</v>
      </c>
      <c r="W32" s="73">
        <f t="shared" si="38"/>
        <v>0</v>
      </c>
      <c r="X32" s="73">
        <f t="shared" si="38"/>
        <v>0</v>
      </c>
      <c r="Y32" s="73">
        <f t="shared" si="38"/>
        <v>0</v>
      </c>
      <c r="Z32" s="73">
        <f t="shared" si="38"/>
        <v>0</v>
      </c>
      <c r="AA32" s="80">
        <f t="shared" si="38"/>
        <v>0</v>
      </c>
      <c r="AB32" s="73"/>
    </row>
    <row r="33" ht="26.25" customHeight="1" spans="1:28">
      <c r="A33" s="67">
        <f>33-6</f>
        <v>27</v>
      </c>
      <c r="B33" s="68"/>
      <c r="C33" s="68"/>
      <c r="D33" s="68"/>
      <c r="E33" s="68"/>
      <c r="F33" s="68"/>
      <c r="G33" s="68"/>
      <c r="H33" s="68" t="s">
        <v>265</v>
      </c>
      <c r="I33" s="73">
        <f t="shared" si="0"/>
        <v>18.5</v>
      </c>
      <c r="J33" s="73"/>
      <c r="K33" s="73">
        <v>18.5</v>
      </c>
      <c r="L33" s="73"/>
      <c r="M33" s="73"/>
      <c r="N33" s="73">
        <f t="shared" si="2"/>
        <v>18.5</v>
      </c>
      <c r="O33" s="73">
        <v>18.5</v>
      </c>
      <c r="P33" s="73"/>
      <c r="Q33" s="73"/>
      <c r="R33" s="73"/>
      <c r="S33" s="73"/>
      <c r="T33" s="73">
        <f t="shared" si="4"/>
        <v>0</v>
      </c>
      <c r="U33" s="73"/>
      <c r="V33" s="73"/>
      <c r="W33" s="73"/>
      <c r="X33" s="73"/>
      <c r="Y33" s="73"/>
      <c r="Z33" s="73"/>
      <c r="AA33" s="80"/>
      <c r="AB33" s="73"/>
    </row>
    <row r="34" ht="26.25" customHeight="1" spans="1:28">
      <c r="A34" s="67">
        <f>34-6</f>
        <v>28</v>
      </c>
      <c r="B34" s="68"/>
      <c r="C34" s="68"/>
      <c r="D34" s="68"/>
      <c r="E34" s="68"/>
      <c r="F34" s="68"/>
      <c r="G34" s="68"/>
      <c r="H34" s="68" t="s">
        <v>266</v>
      </c>
      <c r="I34" s="73">
        <f t="shared" si="0"/>
        <v>11.4</v>
      </c>
      <c r="J34" s="73"/>
      <c r="K34" s="73">
        <v>11.4</v>
      </c>
      <c r="L34" s="73"/>
      <c r="M34" s="73"/>
      <c r="N34" s="73">
        <f t="shared" si="2"/>
        <v>11.4</v>
      </c>
      <c r="O34" s="73">
        <v>11.4</v>
      </c>
      <c r="P34" s="73"/>
      <c r="Q34" s="73"/>
      <c r="R34" s="73"/>
      <c r="S34" s="73"/>
      <c r="T34" s="73">
        <f t="shared" si="4"/>
        <v>0</v>
      </c>
      <c r="U34" s="73"/>
      <c r="V34" s="73"/>
      <c r="W34" s="73"/>
      <c r="X34" s="73"/>
      <c r="Y34" s="73"/>
      <c r="Z34" s="73"/>
      <c r="AA34" s="80"/>
      <c r="AB34" s="73"/>
    </row>
    <row r="35" ht="26.25" customHeight="1" spans="1:28">
      <c r="A35" s="67">
        <f>35-6</f>
        <v>29</v>
      </c>
      <c r="B35" s="68"/>
      <c r="C35" s="68"/>
      <c r="D35" s="68"/>
      <c r="E35" s="68"/>
      <c r="F35" s="68"/>
      <c r="G35" s="68"/>
      <c r="H35" s="68" t="s">
        <v>267</v>
      </c>
      <c r="I35" s="73">
        <f t="shared" si="0"/>
        <v>11.4</v>
      </c>
      <c r="J35" s="73"/>
      <c r="K35" s="73">
        <v>11.4</v>
      </c>
      <c r="L35" s="73"/>
      <c r="M35" s="73"/>
      <c r="N35" s="73">
        <f t="shared" si="2"/>
        <v>11.4</v>
      </c>
      <c r="O35" s="73">
        <v>11.4</v>
      </c>
      <c r="P35" s="73"/>
      <c r="Q35" s="73"/>
      <c r="R35" s="73"/>
      <c r="S35" s="73"/>
      <c r="T35" s="73">
        <f t="shared" si="4"/>
        <v>0</v>
      </c>
      <c r="U35" s="73"/>
      <c r="V35" s="73"/>
      <c r="W35" s="73"/>
      <c r="X35" s="73"/>
      <c r="Y35" s="73"/>
      <c r="Z35" s="73"/>
      <c r="AA35" s="80"/>
      <c r="AB35" s="73"/>
    </row>
    <row r="36" ht="26.25" customHeight="1" spans="1:28">
      <c r="A36" s="67">
        <f>36-6</f>
        <v>30</v>
      </c>
      <c r="B36" s="68"/>
      <c r="C36" s="68"/>
      <c r="D36" s="68"/>
      <c r="E36" s="68"/>
      <c r="F36" s="68"/>
      <c r="G36" s="68"/>
      <c r="H36" s="68" t="s">
        <v>268</v>
      </c>
      <c r="I36" s="73">
        <f t="shared" si="0"/>
        <v>13.3</v>
      </c>
      <c r="J36" s="73"/>
      <c r="K36" s="73">
        <v>13.3</v>
      </c>
      <c r="L36" s="73"/>
      <c r="M36" s="73"/>
      <c r="N36" s="73">
        <f t="shared" si="2"/>
        <v>13.3</v>
      </c>
      <c r="O36" s="73">
        <v>13.3</v>
      </c>
      <c r="P36" s="73"/>
      <c r="Q36" s="73"/>
      <c r="R36" s="73"/>
      <c r="S36" s="73"/>
      <c r="T36" s="73">
        <f t="shared" si="4"/>
        <v>0</v>
      </c>
      <c r="U36" s="73"/>
      <c r="V36" s="73"/>
      <c r="W36" s="73"/>
      <c r="X36" s="73"/>
      <c r="Y36" s="73"/>
      <c r="Z36" s="73"/>
      <c r="AA36" s="80"/>
      <c r="AB36" s="73"/>
    </row>
    <row r="37" ht="26.25" customHeight="1" spans="1:28">
      <c r="A37" s="67">
        <f>37-6</f>
        <v>31</v>
      </c>
      <c r="B37" s="68"/>
      <c r="C37" s="68"/>
      <c r="D37" s="68"/>
      <c r="E37" s="68"/>
      <c r="F37" s="68"/>
      <c r="G37" s="68"/>
      <c r="H37" s="68" t="s">
        <v>269</v>
      </c>
      <c r="I37" s="73">
        <f t="shared" si="0"/>
        <v>52</v>
      </c>
      <c r="J37" s="73"/>
      <c r="K37" s="73">
        <v>52</v>
      </c>
      <c r="L37" s="73"/>
      <c r="M37" s="73"/>
      <c r="N37" s="73">
        <f t="shared" si="2"/>
        <v>52</v>
      </c>
      <c r="O37" s="73">
        <v>52</v>
      </c>
      <c r="P37" s="73"/>
      <c r="Q37" s="73"/>
      <c r="R37" s="73"/>
      <c r="S37" s="73"/>
      <c r="T37" s="73">
        <f t="shared" si="4"/>
        <v>0</v>
      </c>
      <c r="U37" s="73"/>
      <c r="V37" s="73"/>
      <c r="W37" s="73"/>
      <c r="X37" s="73"/>
      <c r="Y37" s="73"/>
      <c r="Z37" s="73"/>
      <c r="AA37" s="80"/>
      <c r="AB37" s="73"/>
    </row>
    <row r="38" ht="26.25" customHeight="1" spans="1:28">
      <c r="A38" s="67">
        <f>38-6</f>
        <v>32</v>
      </c>
      <c r="B38" s="68"/>
      <c r="C38" s="68"/>
      <c r="D38" s="68"/>
      <c r="E38" s="68"/>
      <c r="F38" s="68"/>
      <c r="G38" s="68"/>
      <c r="H38" s="68" t="s">
        <v>270</v>
      </c>
      <c r="I38" s="73">
        <f t="shared" si="0"/>
        <v>14</v>
      </c>
      <c r="J38" s="73"/>
      <c r="K38" s="73">
        <v>14</v>
      </c>
      <c r="L38" s="73"/>
      <c r="M38" s="73"/>
      <c r="N38" s="73">
        <f t="shared" si="2"/>
        <v>14</v>
      </c>
      <c r="O38" s="73">
        <v>14</v>
      </c>
      <c r="P38" s="73"/>
      <c r="Q38" s="73"/>
      <c r="R38" s="73"/>
      <c r="S38" s="73"/>
      <c r="T38" s="73">
        <f t="shared" si="4"/>
        <v>0</v>
      </c>
      <c r="U38" s="73"/>
      <c r="V38" s="73"/>
      <c r="W38" s="73"/>
      <c r="X38" s="73"/>
      <c r="Y38" s="73"/>
      <c r="Z38" s="73"/>
      <c r="AA38" s="80"/>
      <c r="AB38" s="73"/>
    </row>
    <row r="39" ht="26.25" customHeight="1" spans="1:28">
      <c r="A39" s="67">
        <f>39-6</f>
        <v>33</v>
      </c>
      <c r="B39" s="68"/>
      <c r="C39" s="68"/>
      <c r="D39" s="68"/>
      <c r="E39" s="68"/>
      <c r="F39" s="68"/>
      <c r="G39" s="68"/>
      <c r="H39" s="68" t="s">
        <v>271</v>
      </c>
      <c r="I39" s="73">
        <f t="shared" si="0"/>
        <v>20</v>
      </c>
      <c r="J39" s="73"/>
      <c r="K39" s="73">
        <v>20</v>
      </c>
      <c r="L39" s="73"/>
      <c r="M39" s="73"/>
      <c r="N39" s="73">
        <f t="shared" si="2"/>
        <v>20</v>
      </c>
      <c r="O39" s="73">
        <v>20</v>
      </c>
      <c r="P39" s="73"/>
      <c r="Q39" s="73"/>
      <c r="R39" s="73"/>
      <c r="S39" s="73"/>
      <c r="T39" s="73">
        <f t="shared" si="4"/>
        <v>0</v>
      </c>
      <c r="U39" s="73"/>
      <c r="V39" s="73"/>
      <c r="W39" s="73"/>
      <c r="X39" s="73"/>
      <c r="Y39" s="73"/>
      <c r="Z39" s="73"/>
      <c r="AA39" s="80"/>
      <c r="AB39" s="73"/>
    </row>
    <row r="40" ht="26.25" customHeight="1" spans="1:28">
      <c r="A40" s="67">
        <f>40-6</f>
        <v>34</v>
      </c>
      <c r="B40" s="68"/>
      <c r="C40" s="68"/>
      <c r="D40" s="68"/>
      <c r="E40" s="68"/>
      <c r="F40" s="68"/>
      <c r="G40" s="68"/>
      <c r="H40" s="68" t="s">
        <v>272</v>
      </c>
      <c r="I40" s="73">
        <f t="shared" si="0"/>
        <v>9.8</v>
      </c>
      <c r="J40" s="73"/>
      <c r="K40" s="73">
        <v>9.8</v>
      </c>
      <c r="L40" s="73"/>
      <c r="M40" s="73"/>
      <c r="N40" s="73">
        <f t="shared" si="2"/>
        <v>9.8</v>
      </c>
      <c r="O40" s="73">
        <v>9.8</v>
      </c>
      <c r="P40" s="73"/>
      <c r="Q40" s="73"/>
      <c r="R40" s="73"/>
      <c r="S40" s="73"/>
      <c r="T40" s="73">
        <f t="shared" si="4"/>
        <v>0</v>
      </c>
      <c r="U40" s="73"/>
      <c r="V40" s="73"/>
      <c r="W40" s="73"/>
      <c r="X40" s="73"/>
      <c r="Y40" s="73"/>
      <c r="Z40" s="73"/>
      <c r="AA40" s="80"/>
      <c r="AB40" s="73"/>
    </row>
    <row r="41" ht="26.25" customHeight="1" spans="1:28">
      <c r="A41" s="67">
        <f>41-6</f>
        <v>35</v>
      </c>
      <c r="B41" s="68"/>
      <c r="C41" s="68"/>
      <c r="D41" s="68"/>
      <c r="E41" s="68"/>
      <c r="F41" s="68"/>
      <c r="G41" s="68"/>
      <c r="H41" s="68" t="s">
        <v>273</v>
      </c>
      <c r="I41" s="73">
        <f t="shared" si="0"/>
        <v>6.1</v>
      </c>
      <c r="J41" s="73"/>
      <c r="K41" s="73">
        <v>6.1</v>
      </c>
      <c r="L41" s="73"/>
      <c r="M41" s="73"/>
      <c r="N41" s="73">
        <f t="shared" si="2"/>
        <v>6.1</v>
      </c>
      <c r="O41" s="73">
        <v>6.1</v>
      </c>
      <c r="P41" s="73"/>
      <c r="Q41" s="73"/>
      <c r="R41" s="73"/>
      <c r="S41" s="73"/>
      <c r="T41" s="73">
        <f t="shared" si="4"/>
        <v>0</v>
      </c>
      <c r="U41" s="73"/>
      <c r="V41" s="73"/>
      <c r="W41" s="73"/>
      <c r="X41" s="73"/>
      <c r="Y41" s="73"/>
      <c r="Z41" s="73"/>
      <c r="AA41" s="80"/>
      <c r="AB41" s="73"/>
    </row>
    <row r="42" ht="26.25" customHeight="1" spans="1:28">
      <c r="A42" s="67">
        <f>42-6</f>
        <v>36</v>
      </c>
      <c r="B42" s="68"/>
      <c r="C42" s="68"/>
      <c r="D42" s="68"/>
      <c r="E42" s="68"/>
      <c r="F42" s="68"/>
      <c r="G42" s="68"/>
      <c r="H42" s="68" t="s">
        <v>274</v>
      </c>
      <c r="I42" s="73">
        <f t="shared" si="0"/>
        <v>22</v>
      </c>
      <c r="J42" s="73"/>
      <c r="K42" s="73">
        <v>22</v>
      </c>
      <c r="L42" s="73"/>
      <c r="M42" s="73"/>
      <c r="N42" s="73">
        <f t="shared" si="2"/>
        <v>22</v>
      </c>
      <c r="O42" s="73">
        <v>22</v>
      </c>
      <c r="P42" s="73"/>
      <c r="Q42" s="73"/>
      <c r="R42" s="73"/>
      <c r="S42" s="73"/>
      <c r="T42" s="73">
        <f t="shared" si="4"/>
        <v>0</v>
      </c>
      <c r="U42" s="73"/>
      <c r="V42" s="73"/>
      <c r="W42" s="73"/>
      <c r="X42" s="73"/>
      <c r="Y42" s="73"/>
      <c r="Z42" s="73"/>
      <c r="AA42" s="80"/>
      <c r="AB42" s="73"/>
    </row>
    <row r="43" ht="26.25" customHeight="1" spans="1:28">
      <c r="A43" s="67">
        <f>43-6</f>
        <v>37</v>
      </c>
      <c r="B43" s="68"/>
      <c r="C43" s="68"/>
      <c r="D43" s="68"/>
      <c r="E43" s="68"/>
      <c r="F43" s="68"/>
      <c r="G43" s="68"/>
      <c r="H43" s="68" t="s">
        <v>275</v>
      </c>
      <c r="I43" s="73">
        <f t="shared" si="0"/>
        <v>14.4</v>
      </c>
      <c r="J43" s="73"/>
      <c r="K43" s="73">
        <v>14.4</v>
      </c>
      <c r="L43" s="73"/>
      <c r="M43" s="73"/>
      <c r="N43" s="73">
        <f t="shared" si="2"/>
        <v>14.4</v>
      </c>
      <c r="O43" s="73">
        <v>14.4</v>
      </c>
      <c r="P43" s="73"/>
      <c r="Q43" s="73"/>
      <c r="R43" s="73"/>
      <c r="S43" s="73"/>
      <c r="T43" s="73">
        <f t="shared" si="4"/>
        <v>0</v>
      </c>
      <c r="U43" s="73"/>
      <c r="V43" s="73"/>
      <c r="W43" s="73"/>
      <c r="X43" s="73"/>
      <c r="Y43" s="73"/>
      <c r="Z43" s="73"/>
      <c r="AA43" s="80"/>
      <c r="AB43" s="73"/>
    </row>
    <row r="44" ht="26.25" customHeight="1" spans="1:28">
      <c r="A44" s="67">
        <f>44-6</f>
        <v>38</v>
      </c>
      <c r="B44" s="68"/>
      <c r="C44" s="68"/>
      <c r="D44" s="68"/>
      <c r="E44" s="68"/>
      <c r="F44" s="68"/>
      <c r="G44" s="68" t="s">
        <v>276</v>
      </c>
      <c r="H44" s="68"/>
      <c r="I44" s="73">
        <f t="shared" si="0"/>
        <v>26</v>
      </c>
      <c r="J44" s="73">
        <f t="shared" ref="J44:M44" si="39">SUM(J45:J46)</f>
        <v>0</v>
      </c>
      <c r="K44" s="73">
        <f t="shared" si="39"/>
        <v>26</v>
      </c>
      <c r="L44" s="73">
        <f t="shared" si="39"/>
        <v>0</v>
      </c>
      <c r="M44" s="73">
        <f t="shared" si="39"/>
        <v>0</v>
      </c>
      <c r="N44" s="73">
        <f t="shared" si="2"/>
        <v>26</v>
      </c>
      <c r="O44" s="73">
        <f t="shared" ref="O44:S44" si="40">SUM(O45:O46)</f>
        <v>26</v>
      </c>
      <c r="P44" s="73">
        <f t="shared" si="40"/>
        <v>0</v>
      </c>
      <c r="Q44" s="73">
        <f t="shared" si="40"/>
        <v>0</v>
      </c>
      <c r="R44" s="73">
        <f t="shared" si="40"/>
        <v>0</v>
      </c>
      <c r="S44" s="73">
        <f t="shared" si="40"/>
        <v>0</v>
      </c>
      <c r="T44" s="73">
        <f t="shared" si="4"/>
        <v>0</v>
      </c>
      <c r="U44" s="73">
        <f t="shared" ref="U44:AA44" si="41">SUM(U45:U46)</f>
        <v>0</v>
      </c>
      <c r="V44" s="73">
        <f t="shared" si="41"/>
        <v>0</v>
      </c>
      <c r="W44" s="73">
        <f t="shared" si="41"/>
        <v>0</v>
      </c>
      <c r="X44" s="73">
        <f t="shared" si="41"/>
        <v>0</v>
      </c>
      <c r="Y44" s="73">
        <f t="shared" si="41"/>
        <v>0</v>
      </c>
      <c r="Z44" s="73">
        <f t="shared" si="41"/>
        <v>0</v>
      </c>
      <c r="AA44" s="80">
        <f t="shared" si="41"/>
        <v>0</v>
      </c>
      <c r="AB44" s="73"/>
    </row>
    <row r="45" ht="26.25" customHeight="1" spans="1:28">
      <c r="A45" s="67">
        <f>45-6</f>
        <v>39</v>
      </c>
      <c r="B45" s="68"/>
      <c r="C45" s="68"/>
      <c r="D45" s="68"/>
      <c r="E45" s="68"/>
      <c r="F45" s="68"/>
      <c r="G45" s="68"/>
      <c r="H45" s="68" t="s">
        <v>277</v>
      </c>
      <c r="I45" s="73">
        <f t="shared" si="0"/>
        <v>10</v>
      </c>
      <c r="J45" s="73"/>
      <c r="K45" s="73">
        <v>10</v>
      </c>
      <c r="L45" s="73"/>
      <c r="M45" s="73"/>
      <c r="N45" s="73">
        <f t="shared" si="2"/>
        <v>10</v>
      </c>
      <c r="O45" s="73">
        <v>10</v>
      </c>
      <c r="P45" s="73"/>
      <c r="Q45" s="73"/>
      <c r="R45" s="73"/>
      <c r="S45" s="73"/>
      <c r="T45" s="73">
        <f t="shared" si="4"/>
        <v>0</v>
      </c>
      <c r="U45" s="73"/>
      <c r="V45" s="73"/>
      <c r="W45" s="73"/>
      <c r="X45" s="73"/>
      <c r="Y45" s="73"/>
      <c r="Z45" s="73"/>
      <c r="AA45" s="80"/>
      <c r="AB45" s="73"/>
    </row>
    <row r="46" ht="26.25" customHeight="1" spans="1:28">
      <c r="A46" s="67">
        <f>46-6</f>
        <v>40</v>
      </c>
      <c r="B46" s="68"/>
      <c r="C46" s="68"/>
      <c r="D46" s="68"/>
      <c r="E46" s="68"/>
      <c r="F46" s="68"/>
      <c r="G46" s="68"/>
      <c r="H46" s="68" t="s">
        <v>278</v>
      </c>
      <c r="I46" s="73">
        <f t="shared" si="0"/>
        <v>16</v>
      </c>
      <c r="J46" s="73"/>
      <c r="K46" s="73">
        <v>16</v>
      </c>
      <c r="L46" s="73"/>
      <c r="M46" s="73"/>
      <c r="N46" s="73">
        <f t="shared" si="2"/>
        <v>16</v>
      </c>
      <c r="O46" s="73">
        <v>16</v>
      </c>
      <c r="P46" s="73"/>
      <c r="Q46" s="73"/>
      <c r="R46" s="73"/>
      <c r="S46" s="73"/>
      <c r="T46" s="73">
        <f t="shared" si="4"/>
        <v>0</v>
      </c>
      <c r="U46" s="73"/>
      <c r="V46" s="73"/>
      <c r="W46" s="73"/>
      <c r="X46" s="73"/>
      <c r="Y46" s="73"/>
      <c r="Z46" s="73"/>
      <c r="AA46" s="80"/>
      <c r="AB46" s="73"/>
    </row>
    <row r="47" ht="26.25" customHeight="1" spans="1:28">
      <c r="A47" s="67">
        <f>47-6</f>
        <v>41</v>
      </c>
      <c r="B47" s="68"/>
      <c r="C47" s="68"/>
      <c r="D47" s="68"/>
      <c r="E47" s="68"/>
      <c r="F47" s="68"/>
      <c r="G47" s="68" t="s">
        <v>279</v>
      </c>
      <c r="H47" s="68"/>
      <c r="I47" s="73">
        <f t="shared" si="0"/>
        <v>109.6</v>
      </c>
      <c r="J47" s="73">
        <f t="shared" ref="J47:M47" si="42">SUM(J48:J53)</f>
        <v>0</v>
      </c>
      <c r="K47" s="73">
        <f t="shared" si="42"/>
        <v>109.6</v>
      </c>
      <c r="L47" s="73">
        <f t="shared" si="42"/>
        <v>0</v>
      </c>
      <c r="M47" s="73">
        <f t="shared" si="42"/>
        <v>0</v>
      </c>
      <c r="N47" s="73">
        <f t="shared" si="2"/>
        <v>109.6</v>
      </c>
      <c r="O47" s="73">
        <f t="shared" ref="O47:S47" si="43">SUM(O48:O53)</f>
        <v>109.6</v>
      </c>
      <c r="P47" s="73">
        <f t="shared" si="43"/>
        <v>0</v>
      </c>
      <c r="Q47" s="73">
        <f t="shared" si="43"/>
        <v>0</v>
      </c>
      <c r="R47" s="73">
        <f t="shared" si="43"/>
        <v>0</v>
      </c>
      <c r="S47" s="73">
        <f t="shared" si="43"/>
        <v>0</v>
      </c>
      <c r="T47" s="73">
        <f t="shared" si="4"/>
        <v>0</v>
      </c>
      <c r="U47" s="73">
        <f t="shared" ref="U47:AA47" si="44">SUM(U48:U53)</f>
        <v>0</v>
      </c>
      <c r="V47" s="73">
        <f t="shared" si="44"/>
        <v>0</v>
      </c>
      <c r="W47" s="73">
        <f t="shared" si="44"/>
        <v>0</v>
      </c>
      <c r="X47" s="73">
        <f t="shared" si="44"/>
        <v>0</v>
      </c>
      <c r="Y47" s="73">
        <f t="shared" si="44"/>
        <v>0</v>
      </c>
      <c r="Z47" s="73">
        <f t="shared" si="44"/>
        <v>0</v>
      </c>
      <c r="AA47" s="80">
        <f t="shared" si="44"/>
        <v>0</v>
      </c>
      <c r="AB47" s="73"/>
    </row>
    <row r="48" ht="26.25" customHeight="1" spans="1:28">
      <c r="A48" s="67">
        <f>48-6</f>
        <v>42</v>
      </c>
      <c r="B48" s="68"/>
      <c r="C48" s="68"/>
      <c r="D48" s="68"/>
      <c r="E48" s="68"/>
      <c r="F48" s="68"/>
      <c r="G48" s="68"/>
      <c r="H48" s="68" t="s">
        <v>280</v>
      </c>
      <c r="I48" s="73">
        <f t="shared" si="0"/>
        <v>9.6</v>
      </c>
      <c r="J48" s="73"/>
      <c r="K48" s="73">
        <v>9.6</v>
      </c>
      <c r="L48" s="73"/>
      <c r="M48" s="73"/>
      <c r="N48" s="73">
        <f t="shared" si="2"/>
        <v>9.6</v>
      </c>
      <c r="O48" s="73">
        <v>9.6</v>
      </c>
      <c r="P48" s="73"/>
      <c r="Q48" s="73"/>
      <c r="R48" s="73"/>
      <c r="S48" s="73"/>
      <c r="T48" s="73">
        <f t="shared" si="4"/>
        <v>0</v>
      </c>
      <c r="U48" s="73"/>
      <c r="V48" s="73"/>
      <c r="W48" s="73"/>
      <c r="X48" s="73"/>
      <c r="Y48" s="73"/>
      <c r="Z48" s="73"/>
      <c r="AA48" s="80"/>
      <c r="AB48" s="73"/>
    </row>
    <row r="49" ht="26.25" customHeight="1" spans="1:28">
      <c r="A49" s="67">
        <f>49-6</f>
        <v>43</v>
      </c>
      <c r="B49" s="68"/>
      <c r="C49" s="68"/>
      <c r="D49" s="68"/>
      <c r="E49" s="68"/>
      <c r="F49" s="68"/>
      <c r="G49" s="68"/>
      <c r="H49" s="68" t="s">
        <v>281</v>
      </c>
      <c r="I49" s="73">
        <f t="shared" si="0"/>
        <v>4.5</v>
      </c>
      <c r="J49" s="73"/>
      <c r="K49" s="73">
        <v>4.5</v>
      </c>
      <c r="L49" s="73"/>
      <c r="M49" s="73"/>
      <c r="N49" s="73">
        <f t="shared" si="2"/>
        <v>4.5</v>
      </c>
      <c r="O49" s="73">
        <v>4.5</v>
      </c>
      <c r="P49" s="73"/>
      <c r="Q49" s="73"/>
      <c r="R49" s="73"/>
      <c r="S49" s="73"/>
      <c r="T49" s="73">
        <f t="shared" si="4"/>
        <v>0</v>
      </c>
      <c r="U49" s="73"/>
      <c r="V49" s="73"/>
      <c r="W49" s="73"/>
      <c r="X49" s="73"/>
      <c r="Y49" s="73"/>
      <c r="Z49" s="73"/>
      <c r="AA49" s="80"/>
      <c r="AB49" s="73"/>
    </row>
    <row r="50" ht="26.25" customHeight="1" spans="1:28">
      <c r="A50" s="67">
        <f>50-6</f>
        <v>44</v>
      </c>
      <c r="B50" s="68"/>
      <c r="C50" s="68"/>
      <c r="D50" s="68"/>
      <c r="E50" s="68"/>
      <c r="F50" s="68"/>
      <c r="G50" s="68"/>
      <c r="H50" s="68" t="s">
        <v>282</v>
      </c>
      <c r="I50" s="73">
        <f t="shared" si="0"/>
        <v>21</v>
      </c>
      <c r="J50" s="73"/>
      <c r="K50" s="73">
        <v>21</v>
      </c>
      <c r="L50" s="73"/>
      <c r="M50" s="73"/>
      <c r="N50" s="73">
        <f t="shared" si="2"/>
        <v>21</v>
      </c>
      <c r="O50" s="73">
        <v>21</v>
      </c>
      <c r="P50" s="73"/>
      <c r="Q50" s="73"/>
      <c r="R50" s="73"/>
      <c r="S50" s="73"/>
      <c r="T50" s="73">
        <f t="shared" si="4"/>
        <v>0</v>
      </c>
      <c r="U50" s="73"/>
      <c r="V50" s="73"/>
      <c r="W50" s="73"/>
      <c r="X50" s="73"/>
      <c r="Y50" s="73"/>
      <c r="Z50" s="73"/>
      <c r="AA50" s="80"/>
      <c r="AB50" s="73"/>
    </row>
    <row r="51" ht="26.25" customHeight="1" spans="1:28">
      <c r="A51" s="67">
        <f>51-6</f>
        <v>45</v>
      </c>
      <c r="B51" s="68"/>
      <c r="C51" s="68"/>
      <c r="D51" s="68"/>
      <c r="E51" s="68"/>
      <c r="F51" s="68"/>
      <c r="G51" s="68"/>
      <c r="H51" s="68" t="s">
        <v>283</v>
      </c>
      <c r="I51" s="73">
        <f t="shared" si="0"/>
        <v>4.5</v>
      </c>
      <c r="J51" s="73"/>
      <c r="K51" s="73">
        <v>4.5</v>
      </c>
      <c r="L51" s="73"/>
      <c r="M51" s="73"/>
      <c r="N51" s="73">
        <f t="shared" si="2"/>
        <v>4.5</v>
      </c>
      <c r="O51" s="73">
        <v>4.5</v>
      </c>
      <c r="P51" s="73"/>
      <c r="Q51" s="73"/>
      <c r="R51" s="73"/>
      <c r="S51" s="73"/>
      <c r="T51" s="73">
        <f t="shared" si="4"/>
        <v>0</v>
      </c>
      <c r="U51" s="73"/>
      <c r="V51" s="73"/>
      <c r="W51" s="73"/>
      <c r="X51" s="73"/>
      <c r="Y51" s="73"/>
      <c r="Z51" s="73"/>
      <c r="AA51" s="80"/>
      <c r="AB51" s="73"/>
    </row>
    <row r="52" ht="26.25" customHeight="1" spans="1:28">
      <c r="A52" s="67">
        <f>52-6</f>
        <v>46</v>
      </c>
      <c r="B52" s="68"/>
      <c r="C52" s="68"/>
      <c r="D52" s="68"/>
      <c r="E52" s="68"/>
      <c r="F52" s="68"/>
      <c r="G52" s="68"/>
      <c r="H52" s="68" t="s">
        <v>284</v>
      </c>
      <c r="I52" s="73">
        <f t="shared" si="0"/>
        <v>10</v>
      </c>
      <c r="J52" s="73"/>
      <c r="K52" s="73">
        <v>10</v>
      </c>
      <c r="L52" s="73"/>
      <c r="M52" s="73"/>
      <c r="N52" s="73">
        <f t="shared" si="2"/>
        <v>10</v>
      </c>
      <c r="O52" s="73">
        <v>10</v>
      </c>
      <c r="P52" s="73"/>
      <c r="Q52" s="73"/>
      <c r="R52" s="73"/>
      <c r="S52" s="73"/>
      <c r="T52" s="73">
        <f t="shared" si="4"/>
        <v>0</v>
      </c>
      <c r="U52" s="73"/>
      <c r="V52" s="73"/>
      <c r="W52" s="73"/>
      <c r="X52" s="73"/>
      <c r="Y52" s="73"/>
      <c r="Z52" s="73"/>
      <c r="AA52" s="80"/>
      <c r="AB52" s="73"/>
    </row>
    <row r="53" ht="26.25" customHeight="1" spans="1:28">
      <c r="A53" s="67">
        <f>53-6</f>
        <v>47</v>
      </c>
      <c r="B53" s="68"/>
      <c r="C53" s="68"/>
      <c r="D53" s="68"/>
      <c r="E53" s="68"/>
      <c r="F53" s="68"/>
      <c r="G53" s="68"/>
      <c r="H53" s="68" t="s">
        <v>285</v>
      </c>
      <c r="I53" s="73">
        <f t="shared" si="0"/>
        <v>60</v>
      </c>
      <c r="J53" s="73"/>
      <c r="K53" s="73">
        <v>60</v>
      </c>
      <c r="L53" s="73"/>
      <c r="M53" s="73"/>
      <c r="N53" s="73">
        <f t="shared" si="2"/>
        <v>60</v>
      </c>
      <c r="O53" s="73">
        <v>60</v>
      </c>
      <c r="P53" s="73"/>
      <c r="Q53" s="73"/>
      <c r="R53" s="73"/>
      <c r="S53" s="73"/>
      <c r="T53" s="73">
        <f t="shared" si="4"/>
        <v>0</v>
      </c>
      <c r="U53" s="73"/>
      <c r="V53" s="73"/>
      <c r="W53" s="73"/>
      <c r="X53" s="73"/>
      <c r="Y53" s="73"/>
      <c r="Z53" s="73"/>
      <c r="AA53" s="80"/>
      <c r="AB53" s="73"/>
    </row>
    <row r="54" ht="26.25" customHeight="1" spans="1:28">
      <c r="A54" s="67">
        <f>54-6</f>
        <v>48</v>
      </c>
      <c r="B54" s="68"/>
      <c r="C54" s="68" t="s">
        <v>127</v>
      </c>
      <c r="D54" s="68"/>
      <c r="E54" s="68"/>
      <c r="F54" s="68"/>
      <c r="G54" s="68"/>
      <c r="H54" s="68"/>
      <c r="I54" s="73">
        <f t="shared" si="0"/>
        <v>1762.61</v>
      </c>
      <c r="J54" s="73">
        <f t="shared" ref="J54:M54" si="45">SUM(J55,J68,J77,J82,J93,J101)</f>
        <v>0</v>
      </c>
      <c r="K54" s="73">
        <f t="shared" si="45"/>
        <v>1762.61</v>
      </c>
      <c r="L54" s="73">
        <f t="shared" si="45"/>
        <v>0</v>
      </c>
      <c r="M54" s="73">
        <f t="shared" si="45"/>
        <v>0</v>
      </c>
      <c r="N54" s="73">
        <f t="shared" si="2"/>
        <v>875.89</v>
      </c>
      <c r="O54" s="73">
        <f t="shared" ref="O54:S54" si="46">SUM(O55,O68,O77,O82,O93,O101)</f>
        <v>875.89</v>
      </c>
      <c r="P54" s="73">
        <f t="shared" si="46"/>
        <v>0</v>
      </c>
      <c r="Q54" s="73">
        <f t="shared" si="46"/>
        <v>0</v>
      </c>
      <c r="R54" s="73">
        <f t="shared" si="46"/>
        <v>0</v>
      </c>
      <c r="S54" s="73">
        <f t="shared" si="46"/>
        <v>0</v>
      </c>
      <c r="T54" s="73">
        <f t="shared" si="4"/>
        <v>886.72</v>
      </c>
      <c r="U54" s="73">
        <f t="shared" ref="U54:AA54" si="47">SUM(U55,U68,U77,U82,U93,U101)</f>
        <v>0</v>
      </c>
      <c r="V54" s="73">
        <f t="shared" si="47"/>
        <v>886.72</v>
      </c>
      <c r="W54" s="73">
        <f t="shared" si="47"/>
        <v>0</v>
      </c>
      <c r="X54" s="73">
        <f t="shared" si="47"/>
        <v>0</v>
      </c>
      <c r="Y54" s="73">
        <f t="shared" si="47"/>
        <v>0</v>
      </c>
      <c r="Z54" s="73">
        <f t="shared" si="47"/>
        <v>0</v>
      </c>
      <c r="AA54" s="80">
        <f t="shared" si="47"/>
        <v>128</v>
      </c>
      <c r="AB54" s="73"/>
    </row>
    <row r="55" ht="26.25" customHeight="1" spans="1:28">
      <c r="A55" s="67">
        <f>55-6</f>
        <v>49</v>
      </c>
      <c r="B55" s="68"/>
      <c r="C55" s="68"/>
      <c r="D55" s="68" t="s">
        <v>286</v>
      </c>
      <c r="E55" s="68"/>
      <c r="F55" s="68"/>
      <c r="G55" s="68"/>
      <c r="H55" s="68"/>
      <c r="I55" s="73">
        <f t="shared" si="0"/>
        <v>215.79</v>
      </c>
      <c r="J55" s="73">
        <f t="shared" ref="J55:M55" si="48">SUM(J56)</f>
        <v>0</v>
      </c>
      <c r="K55" s="73">
        <f t="shared" si="48"/>
        <v>215.79</v>
      </c>
      <c r="L55" s="73">
        <f t="shared" si="48"/>
        <v>0</v>
      </c>
      <c r="M55" s="73">
        <f t="shared" si="48"/>
        <v>0</v>
      </c>
      <c r="N55" s="73">
        <f t="shared" si="2"/>
        <v>215.79</v>
      </c>
      <c r="O55" s="73">
        <f t="shared" ref="O55:S55" si="49">SUM(O56)</f>
        <v>215.79</v>
      </c>
      <c r="P55" s="73">
        <f t="shared" si="49"/>
        <v>0</v>
      </c>
      <c r="Q55" s="73">
        <f t="shared" si="49"/>
        <v>0</v>
      </c>
      <c r="R55" s="73">
        <f t="shared" si="49"/>
        <v>0</v>
      </c>
      <c r="S55" s="73">
        <f t="shared" si="49"/>
        <v>0</v>
      </c>
      <c r="T55" s="73">
        <f t="shared" si="4"/>
        <v>0</v>
      </c>
      <c r="U55" s="73">
        <f t="shared" ref="U55:AA55" si="50">SUM(U56)</f>
        <v>0</v>
      </c>
      <c r="V55" s="73">
        <f t="shared" si="50"/>
        <v>0</v>
      </c>
      <c r="W55" s="73">
        <f t="shared" si="50"/>
        <v>0</v>
      </c>
      <c r="X55" s="73">
        <f t="shared" si="50"/>
        <v>0</v>
      </c>
      <c r="Y55" s="73">
        <f t="shared" si="50"/>
        <v>0</v>
      </c>
      <c r="Z55" s="73">
        <f t="shared" si="50"/>
        <v>0</v>
      </c>
      <c r="AA55" s="80">
        <f t="shared" si="50"/>
        <v>0</v>
      </c>
      <c r="AB55" s="73"/>
    </row>
    <row r="56" ht="26.25" customHeight="1" spans="1:28">
      <c r="A56" s="67">
        <f>56-6</f>
        <v>50</v>
      </c>
      <c r="B56" s="68"/>
      <c r="C56" s="68"/>
      <c r="D56" s="68"/>
      <c r="E56" s="68" t="s">
        <v>61</v>
      </c>
      <c r="F56" s="68"/>
      <c r="G56" s="68"/>
      <c r="H56" s="68"/>
      <c r="I56" s="73">
        <f t="shared" si="0"/>
        <v>215.79</v>
      </c>
      <c r="J56" s="73">
        <f t="shared" ref="J56:M56" si="51">SUM(J57)</f>
        <v>0</v>
      </c>
      <c r="K56" s="73">
        <f t="shared" si="51"/>
        <v>215.79</v>
      </c>
      <c r="L56" s="73">
        <f t="shared" si="51"/>
        <v>0</v>
      </c>
      <c r="M56" s="73">
        <f t="shared" si="51"/>
        <v>0</v>
      </c>
      <c r="N56" s="73">
        <f t="shared" si="2"/>
        <v>215.79</v>
      </c>
      <c r="O56" s="73">
        <f t="shared" ref="O56:S56" si="52">SUM(O57)</f>
        <v>215.79</v>
      </c>
      <c r="P56" s="73">
        <f t="shared" si="52"/>
        <v>0</v>
      </c>
      <c r="Q56" s="73">
        <f t="shared" si="52"/>
        <v>0</v>
      </c>
      <c r="R56" s="73">
        <f t="shared" si="52"/>
        <v>0</v>
      </c>
      <c r="S56" s="73">
        <f t="shared" si="52"/>
        <v>0</v>
      </c>
      <c r="T56" s="73">
        <f t="shared" si="4"/>
        <v>0</v>
      </c>
      <c r="U56" s="73">
        <f t="shared" ref="U56:AA56" si="53">SUM(U57)</f>
        <v>0</v>
      </c>
      <c r="V56" s="73">
        <f t="shared" si="53"/>
        <v>0</v>
      </c>
      <c r="W56" s="73">
        <f t="shared" si="53"/>
        <v>0</v>
      </c>
      <c r="X56" s="73">
        <f t="shared" si="53"/>
        <v>0</v>
      </c>
      <c r="Y56" s="73">
        <f t="shared" si="53"/>
        <v>0</v>
      </c>
      <c r="Z56" s="73">
        <f t="shared" si="53"/>
        <v>0</v>
      </c>
      <c r="AA56" s="80">
        <f t="shared" si="53"/>
        <v>0</v>
      </c>
      <c r="AB56" s="73"/>
    </row>
    <row r="57" ht="26.25" customHeight="1" spans="1:28">
      <c r="A57" s="67">
        <f>57-6</f>
        <v>51</v>
      </c>
      <c r="B57" s="68"/>
      <c r="C57" s="68"/>
      <c r="D57" s="68"/>
      <c r="E57" s="68"/>
      <c r="F57" s="68" t="s">
        <v>287</v>
      </c>
      <c r="G57" s="68"/>
      <c r="H57" s="68"/>
      <c r="I57" s="73">
        <f t="shared" si="0"/>
        <v>215.79</v>
      </c>
      <c r="J57" s="73">
        <f t="shared" ref="J57:M57" si="54">SUM(J58)</f>
        <v>0</v>
      </c>
      <c r="K57" s="73">
        <f t="shared" si="54"/>
        <v>215.79</v>
      </c>
      <c r="L57" s="73">
        <f t="shared" si="54"/>
        <v>0</v>
      </c>
      <c r="M57" s="73">
        <f t="shared" si="54"/>
        <v>0</v>
      </c>
      <c r="N57" s="73">
        <f t="shared" si="2"/>
        <v>215.79</v>
      </c>
      <c r="O57" s="73">
        <f t="shared" ref="O57:S57" si="55">SUM(O58)</f>
        <v>215.79</v>
      </c>
      <c r="P57" s="73">
        <f t="shared" si="55"/>
        <v>0</v>
      </c>
      <c r="Q57" s="73">
        <f t="shared" si="55"/>
        <v>0</v>
      </c>
      <c r="R57" s="73">
        <f t="shared" si="55"/>
        <v>0</v>
      </c>
      <c r="S57" s="73">
        <f t="shared" si="55"/>
        <v>0</v>
      </c>
      <c r="T57" s="73">
        <f t="shared" si="4"/>
        <v>0</v>
      </c>
      <c r="U57" s="73">
        <f t="shared" ref="U57:AA57" si="56">SUM(U58)</f>
        <v>0</v>
      </c>
      <c r="V57" s="73">
        <f t="shared" si="56"/>
        <v>0</v>
      </c>
      <c r="W57" s="73">
        <f t="shared" si="56"/>
        <v>0</v>
      </c>
      <c r="X57" s="73">
        <f t="shared" si="56"/>
        <v>0</v>
      </c>
      <c r="Y57" s="73">
        <f t="shared" si="56"/>
        <v>0</v>
      </c>
      <c r="Z57" s="73">
        <f t="shared" si="56"/>
        <v>0</v>
      </c>
      <c r="AA57" s="80">
        <f t="shared" si="56"/>
        <v>0</v>
      </c>
      <c r="AB57" s="81" t="s">
        <v>245</v>
      </c>
    </row>
    <row r="58" ht="26.25" customHeight="1" spans="1:28">
      <c r="A58" s="67">
        <f>58-6</f>
        <v>52</v>
      </c>
      <c r="B58" s="68"/>
      <c r="C58" s="68"/>
      <c r="D58" s="68"/>
      <c r="E58" s="68"/>
      <c r="F58" s="68"/>
      <c r="G58" s="68" t="s">
        <v>288</v>
      </c>
      <c r="H58" s="68"/>
      <c r="I58" s="73">
        <f t="shared" si="0"/>
        <v>215.79</v>
      </c>
      <c r="J58" s="73">
        <f t="shared" ref="J58:M58" si="57">SUM(J59:J67)</f>
        <v>0</v>
      </c>
      <c r="K58" s="73">
        <f t="shared" si="57"/>
        <v>215.79</v>
      </c>
      <c r="L58" s="73">
        <f t="shared" si="57"/>
        <v>0</v>
      </c>
      <c r="M58" s="73">
        <f t="shared" si="57"/>
        <v>0</v>
      </c>
      <c r="N58" s="73">
        <f t="shared" si="2"/>
        <v>215.79</v>
      </c>
      <c r="O58" s="73">
        <f t="shared" ref="O58:S58" si="58">SUM(O59:O67)</f>
        <v>215.79</v>
      </c>
      <c r="P58" s="73">
        <f t="shared" si="58"/>
        <v>0</v>
      </c>
      <c r="Q58" s="73">
        <f t="shared" si="58"/>
        <v>0</v>
      </c>
      <c r="R58" s="73">
        <f t="shared" si="58"/>
        <v>0</v>
      </c>
      <c r="S58" s="73">
        <f t="shared" si="58"/>
        <v>0</v>
      </c>
      <c r="T58" s="73">
        <f t="shared" si="4"/>
        <v>0</v>
      </c>
      <c r="U58" s="73">
        <f t="shared" ref="U58:AA58" si="59">SUM(U59:U67)</f>
        <v>0</v>
      </c>
      <c r="V58" s="73">
        <f t="shared" si="59"/>
        <v>0</v>
      </c>
      <c r="W58" s="73">
        <f t="shared" si="59"/>
        <v>0</v>
      </c>
      <c r="X58" s="73">
        <f t="shared" si="59"/>
        <v>0</v>
      </c>
      <c r="Y58" s="73">
        <f t="shared" si="59"/>
        <v>0</v>
      </c>
      <c r="Z58" s="73">
        <f t="shared" si="59"/>
        <v>0</v>
      </c>
      <c r="AA58" s="80">
        <f t="shared" si="59"/>
        <v>0</v>
      </c>
      <c r="AB58" s="73"/>
    </row>
    <row r="59" ht="26.25" customHeight="1" spans="1:28">
      <c r="A59" s="67">
        <f>59-6</f>
        <v>53</v>
      </c>
      <c r="B59" s="68"/>
      <c r="C59" s="68"/>
      <c r="D59" s="68"/>
      <c r="E59" s="68"/>
      <c r="F59" s="68"/>
      <c r="G59" s="68"/>
      <c r="H59" s="68" t="s">
        <v>289</v>
      </c>
      <c r="I59" s="73">
        <f t="shared" si="0"/>
        <v>18</v>
      </c>
      <c r="J59" s="73"/>
      <c r="K59" s="73">
        <v>18</v>
      </c>
      <c r="L59" s="73"/>
      <c r="M59" s="73"/>
      <c r="N59" s="73">
        <f t="shared" si="2"/>
        <v>18</v>
      </c>
      <c r="O59" s="73">
        <v>18</v>
      </c>
      <c r="P59" s="73"/>
      <c r="Q59" s="73"/>
      <c r="R59" s="73"/>
      <c r="S59" s="73"/>
      <c r="T59" s="73">
        <f t="shared" si="4"/>
        <v>0</v>
      </c>
      <c r="U59" s="73"/>
      <c r="V59" s="73"/>
      <c r="W59" s="73"/>
      <c r="X59" s="73"/>
      <c r="Y59" s="73"/>
      <c r="Z59" s="73"/>
      <c r="AA59" s="80"/>
      <c r="AB59" s="73"/>
    </row>
    <row r="60" ht="26.25" customHeight="1" spans="1:28">
      <c r="A60" s="67">
        <f>60-6</f>
        <v>54</v>
      </c>
      <c r="B60" s="68"/>
      <c r="C60" s="68"/>
      <c r="D60" s="68"/>
      <c r="E60" s="68"/>
      <c r="F60" s="68"/>
      <c r="G60" s="68"/>
      <c r="H60" s="68" t="s">
        <v>290</v>
      </c>
      <c r="I60" s="73">
        <f t="shared" si="0"/>
        <v>5</v>
      </c>
      <c r="J60" s="73"/>
      <c r="K60" s="73">
        <v>5</v>
      </c>
      <c r="L60" s="73"/>
      <c r="M60" s="73"/>
      <c r="N60" s="73">
        <f t="shared" si="2"/>
        <v>5</v>
      </c>
      <c r="O60" s="73">
        <v>5</v>
      </c>
      <c r="P60" s="73"/>
      <c r="Q60" s="73"/>
      <c r="R60" s="73"/>
      <c r="S60" s="73"/>
      <c r="T60" s="73">
        <f t="shared" si="4"/>
        <v>0</v>
      </c>
      <c r="U60" s="73"/>
      <c r="V60" s="73"/>
      <c r="W60" s="73"/>
      <c r="X60" s="73"/>
      <c r="Y60" s="73"/>
      <c r="Z60" s="73"/>
      <c r="AA60" s="80"/>
      <c r="AB60" s="73"/>
    </row>
    <row r="61" ht="26.25" customHeight="1" spans="1:28">
      <c r="A61" s="67">
        <f>61-6</f>
        <v>55</v>
      </c>
      <c r="B61" s="68"/>
      <c r="C61" s="68"/>
      <c r="D61" s="68"/>
      <c r="E61" s="68"/>
      <c r="F61" s="68"/>
      <c r="G61" s="68"/>
      <c r="H61" s="68" t="s">
        <v>291</v>
      </c>
      <c r="I61" s="73">
        <f t="shared" si="0"/>
        <v>23</v>
      </c>
      <c r="J61" s="73"/>
      <c r="K61" s="73">
        <v>23</v>
      </c>
      <c r="L61" s="73"/>
      <c r="M61" s="73"/>
      <c r="N61" s="73">
        <f t="shared" si="2"/>
        <v>23</v>
      </c>
      <c r="O61" s="73">
        <v>23</v>
      </c>
      <c r="P61" s="73"/>
      <c r="Q61" s="73"/>
      <c r="R61" s="73"/>
      <c r="S61" s="73"/>
      <c r="T61" s="73">
        <f t="shared" si="4"/>
        <v>0</v>
      </c>
      <c r="U61" s="73"/>
      <c r="V61" s="73"/>
      <c r="W61" s="73"/>
      <c r="X61" s="73"/>
      <c r="Y61" s="73"/>
      <c r="Z61" s="73"/>
      <c r="AA61" s="80"/>
      <c r="AB61" s="73"/>
    </row>
    <row r="62" ht="26.25" customHeight="1" spans="1:28">
      <c r="A62" s="67">
        <f>62-6</f>
        <v>56</v>
      </c>
      <c r="B62" s="68"/>
      <c r="C62" s="68"/>
      <c r="D62" s="68"/>
      <c r="E62" s="68"/>
      <c r="F62" s="68"/>
      <c r="G62" s="68"/>
      <c r="H62" s="68" t="s">
        <v>292</v>
      </c>
      <c r="I62" s="73">
        <f t="shared" si="0"/>
        <v>35</v>
      </c>
      <c r="J62" s="73"/>
      <c r="K62" s="73">
        <v>35</v>
      </c>
      <c r="L62" s="73"/>
      <c r="M62" s="73"/>
      <c r="N62" s="73">
        <f t="shared" si="2"/>
        <v>35</v>
      </c>
      <c r="O62" s="73">
        <v>35</v>
      </c>
      <c r="P62" s="73"/>
      <c r="Q62" s="73"/>
      <c r="R62" s="73"/>
      <c r="S62" s="73"/>
      <c r="T62" s="73">
        <f t="shared" si="4"/>
        <v>0</v>
      </c>
      <c r="U62" s="73"/>
      <c r="V62" s="73"/>
      <c r="W62" s="73"/>
      <c r="X62" s="73"/>
      <c r="Y62" s="73"/>
      <c r="Z62" s="73"/>
      <c r="AA62" s="80"/>
      <c r="AB62" s="73"/>
    </row>
    <row r="63" ht="26.25" customHeight="1" spans="1:28">
      <c r="A63" s="67">
        <f>63-6</f>
        <v>57</v>
      </c>
      <c r="B63" s="68"/>
      <c r="C63" s="68"/>
      <c r="D63" s="68"/>
      <c r="E63" s="68"/>
      <c r="F63" s="68"/>
      <c r="G63" s="68"/>
      <c r="H63" s="68" t="s">
        <v>293</v>
      </c>
      <c r="I63" s="73">
        <f t="shared" si="0"/>
        <v>4</v>
      </c>
      <c r="J63" s="73"/>
      <c r="K63" s="73">
        <v>4</v>
      </c>
      <c r="L63" s="73"/>
      <c r="M63" s="73"/>
      <c r="N63" s="73">
        <f t="shared" si="2"/>
        <v>4</v>
      </c>
      <c r="O63" s="73">
        <v>4</v>
      </c>
      <c r="P63" s="73"/>
      <c r="Q63" s="73"/>
      <c r="R63" s="73"/>
      <c r="S63" s="73"/>
      <c r="T63" s="73">
        <f t="shared" si="4"/>
        <v>0</v>
      </c>
      <c r="U63" s="73"/>
      <c r="V63" s="73"/>
      <c r="W63" s="73"/>
      <c r="X63" s="73"/>
      <c r="Y63" s="73"/>
      <c r="Z63" s="73"/>
      <c r="AA63" s="80"/>
      <c r="AB63" s="73"/>
    </row>
    <row r="64" ht="26.25" customHeight="1" spans="1:28">
      <c r="A64" s="67">
        <f>64-6</f>
        <v>58</v>
      </c>
      <c r="B64" s="68"/>
      <c r="C64" s="68"/>
      <c r="D64" s="68"/>
      <c r="E64" s="68"/>
      <c r="F64" s="68"/>
      <c r="G64" s="68"/>
      <c r="H64" s="68" t="s">
        <v>294</v>
      </c>
      <c r="I64" s="73">
        <f t="shared" si="0"/>
        <v>9.79</v>
      </c>
      <c r="J64" s="73"/>
      <c r="K64" s="73">
        <v>9.79</v>
      </c>
      <c r="L64" s="73"/>
      <c r="M64" s="73"/>
      <c r="N64" s="73">
        <f t="shared" si="2"/>
        <v>9.79</v>
      </c>
      <c r="O64" s="73">
        <v>9.79</v>
      </c>
      <c r="P64" s="73"/>
      <c r="Q64" s="73"/>
      <c r="R64" s="73"/>
      <c r="S64" s="73"/>
      <c r="T64" s="73">
        <f t="shared" si="4"/>
        <v>0</v>
      </c>
      <c r="U64" s="73"/>
      <c r="V64" s="73"/>
      <c r="W64" s="73"/>
      <c r="X64" s="73"/>
      <c r="Y64" s="73"/>
      <c r="Z64" s="73"/>
      <c r="AA64" s="80"/>
      <c r="AB64" s="73"/>
    </row>
    <row r="65" ht="26.25" customHeight="1" spans="1:28">
      <c r="A65" s="67">
        <f>65-6</f>
        <v>59</v>
      </c>
      <c r="B65" s="68"/>
      <c r="C65" s="68"/>
      <c r="D65" s="68"/>
      <c r="E65" s="68"/>
      <c r="F65" s="68"/>
      <c r="G65" s="68"/>
      <c r="H65" s="68" t="s">
        <v>295</v>
      </c>
      <c r="I65" s="73">
        <f t="shared" si="0"/>
        <v>17</v>
      </c>
      <c r="J65" s="73"/>
      <c r="K65" s="73">
        <v>17</v>
      </c>
      <c r="L65" s="73"/>
      <c r="M65" s="73"/>
      <c r="N65" s="73">
        <f t="shared" si="2"/>
        <v>17</v>
      </c>
      <c r="O65" s="73">
        <v>17</v>
      </c>
      <c r="P65" s="73"/>
      <c r="Q65" s="73"/>
      <c r="R65" s="73"/>
      <c r="S65" s="73"/>
      <c r="T65" s="73">
        <f t="shared" si="4"/>
        <v>0</v>
      </c>
      <c r="U65" s="73"/>
      <c r="V65" s="73"/>
      <c r="W65" s="73"/>
      <c r="X65" s="73"/>
      <c r="Y65" s="73"/>
      <c r="Z65" s="73"/>
      <c r="AA65" s="80"/>
      <c r="AB65" s="73"/>
    </row>
    <row r="66" ht="26.25" customHeight="1" spans="1:28">
      <c r="A66" s="67">
        <f>66-6</f>
        <v>60</v>
      </c>
      <c r="B66" s="68"/>
      <c r="C66" s="68"/>
      <c r="D66" s="68"/>
      <c r="E66" s="68"/>
      <c r="F66" s="68"/>
      <c r="G66" s="68"/>
      <c r="H66" s="68" t="s">
        <v>296</v>
      </c>
      <c r="I66" s="73">
        <f t="shared" si="0"/>
        <v>86</v>
      </c>
      <c r="J66" s="73"/>
      <c r="K66" s="73">
        <v>86</v>
      </c>
      <c r="L66" s="73"/>
      <c r="M66" s="73"/>
      <c r="N66" s="73">
        <f t="shared" si="2"/>
        <v>86</v>
      </c>
      <c r="O66" s="73">
        <v>86</v>
      </c>
      <c r="P66" s="73"/>
      <c r="Q66" s="73"/>
      <c r="R66" s="73"/>
      <c r="S66" s="73"/>
      <c r="T66" s="73">
        <f t="shared" si="4"/>
        <v>0</v>
      </c>
      <c r="U66" s="73"/>
      <c r="V66" s="73"/>
      <c r="W66" s="73"/>
      <c r="X66" s="73"/>
      <c r="Y66" s="73"/>
      <c r="Z66" s="73"/>
      <c r="AA66" s="80"/>
      <c r="AB66" s="73"/>
    </row>
    <row r="67" ht="26.25" customHeight="1" spans="1:28">
      <c r="A67" s="67">
        <f>67-6</f>
        <v>61</v>
      </c>
      <c r="B67" s="68"/>
      <c r="C67" s="68"/>
      <c r="D67" s="68"/>
      <c r="E67" s="68"/>
      <c r="F67" s="68"/>
      <c r="G67" s="68"/>
      <c r="H67" s="68" t="s">
        <v>297</v>
      </c>
      <c r="I67" s="73">
        <f t="shared" si="0"/>
        <v>18</v>
      </c>
      <c r="J67" s="73"/>
      <c r="K67" s="73">
        <v>18</v>
      </c>
      <c r="L67" s="73"/>
      <c r="M67" s="73"/>
      <c r="N67" s="73">
        <f t="shared" si="2"/>
        <v>18</v>
      </c>
      <c r="O67" s="73">
        <v>18</v>
      </c>
      <c r="P67" s="73"/>
      <c r="Q67" s="73"/>
      <c r="R67" s="73"/>
      <c r="S67" s="73"/>
      <c r="T67" s="73">
        <f t="shared" si="4"/>
        <v>0</v>
      </c>
      <c r="U67" s="73"/>
      <c r="V67" s="73"/>
      <c r="W67" s="73"/>
      <c r="X67" s="73"/>
      <c r="Y67" s="73"/>
      <c r="Z67" s="73"/>
      <c r="AA67" s="80"/>
      <c r="AB67" s="73"/>
    </row>
    <row r="68" ht="26.25" customHeight="1" spans="1:28">
      <c r="A68" s="67">
        <f>68-6</f>
        <v>62</v>
      </c>
      <c r="B68" s="68"/>
      <c r="C68" s="68"/>
      <c r="D68" s="68" t="s">
        <v>298</v>
      </c>
      <c r="E68" s="68"/>
      <c r="F68" s="68"/>
      <c r="G68" s="68"/>
      <c r="H68" s="68"/>
      <c r="I68" s="73">
        <f t="shared" si="0"/>
        <v>773.65</v>
      </c>
      <c r="J68" s="73">
        <f t="shared" ref="J68:M68" si="60">SUM(J69)</f>
        <v>0</v>
      </c>
      <c r="K68" s="73">
        <f t="shared" si="60"/>
        <v>773.65</v>
      </c>
      <c r="L68" s="73">
        <f t="shared" si="60"/>
        <v>0</v>
      </c>
      <c r="M68" s="73">
        <f t="shared" si="60"/>
        <v>0</v>
      </c>
      <c r="N68" s="73">
        <f t="shared" si="2"/>
        <v>0</v>
      </c>
      <c r="O68" s="73">
        <f t="shared" ref="O68:S68" si="61">SUM(O69)</f>
        <v>0</v>
      </c>
      <c r="P68" s="73">
        <f t="shared" si="61"/>
        <v>0</v>
      </c>
      <c r="Q68" s="73">
        <f t="shared" si="61"/>
        <v>0</v>
      </c>
      <c r="R68" s="73">
        <f t="shared" si="61"/>
        <v>0</v>
      </c>
      <c r="S68" s="73">
        <f t="shared" si="61"/>
        <v>0</v>
      </c>
      <c r="T68" s="73">
        <f t="shared" si="4"/>
        <v>773.65</v>
      </c>
      <c r="U68" s="73">
        <f t="shared" ref="U68:AA68" si="62">SUM(U69)</f>
        <v>0</v>
      </c>
      <c r="V68" s="73">
        <f t="shared" si="62"/>
        <v>773.65</v>
      </c>
      <c r="W68" s="73">
        <f t="shared" si="62"/>
        <v>0</v>
      </c>
      <c r="X68" s="73">
        <f t="shared" si="62"/>
        <v>0</v>
      </c>
      <c r="Y68" s="73">
        <f t="shared" si="62"/>
        <v>0</v>
      </c>
      <c r="Z68" s="73">
        <f t="shared" si="62"/>
        <v>0</v>
      </c>
      <c r="AA68" s="80">
        <f t="shared" si="62"/>
        <v>0</v>
      </c>
      <c r="AB68" s="73"/>
    </row>
    <row r="69" ht="26.25" customHeight="1" spans="1:28">
      <c r="A69" s="67">
        <f>69-6</f>
        <v>63</v>
      </c>
      <c r="B69" s="68"/>
      <c r="C69" s="68"/>
      <c r="D69" s="68"/>
      <c r="E69" s="68" t="s">
        <v>131</v>
      </c>
      <c r="F69" s="68"/>
      <c r="G69" s="68"/>
      <c r="H69" s="68"/>
      <c r="I69" s="73">
        <f t="shared" si="0"/>
        <v>773.65</v>
      </c>
      <c r="J69" s="73">
        <f t="shared" ref="J69:M69" si="63">SUM(J70)</f>
        <v>0</v>
      </c>
      <c r="K69" s="73">
        <f t="shared" si="63"/>
        <v>773.65</v>
      </c>
      <c r="L69" s="73">
        <f t="shared" si="63"/>
        <v>0</v>
      </c>
      <c r="M69" s="73">
        <f t="shared" si="63"/>
        <v>0</v>
      </c>
      <c r="N69" s="73">
        <f t="shared" si="2"/>
        <v>0</v>
      </c>
      <c r="O69" s="73">
        <f t="shared" ref="O69:S69" si="64">SUM(O70)</f>
        <v>0</v>
      </c>
      <c r="P69" s="73">
        <f t="shared" si="64"/>
        <v>0</v>
      </c>
      <c r="Q69" s="73">
        <f t="shared" si="64"/>
        <v>0</v>
      </c>
      <c r="R69" s="73">
        <f t="shared" si="64"/>
        <v>0</v>
      </c>
      <c r="S69" s="73">
        <f t="shared" si="64"/>
        <v>0</v>
      </c>
      <c r="T69" s="73">
        <f t="shared" si="4"/>
        <v>773.65</v>
      </c>
      <c r="U69" s="73">
        <f t="shared" ref="U69:AA69" si="65">SUM(U70)</f>
        <v>0</v>
      </c>
      <c r="V69" s="73">
        <f t="shared" si="65"/>
        <v>773.65</v>
      </c>
      <c r="W69" s="73">
        <f t="shared" si="65"/>
        <v>0</v>
      </c>
      <c r="X69" s="73">
        <f t="shared" si="65"/>
        <v>0</v>
      </c>
      <c r="Y69" s="73">
        <f t="shared" si="65"/>
        <v>0</v>
      </c>
      <c r="Z69" s="73">
        <f t="shared" si="65"/>
        <v>0</v>
      </c>
      <c r="AA69" s="80">
        <f t="shared" si="65"/>
        <v>0</v>
      </c>
      <c r="AB69" s="73"/>
    </row>
    <row r="70" ht="26.25" customHeight="1" spans="1:28">
      <c r="A70" s="67">
        <f>70-6</f>
        <v>64</v>
      </c>
      <c r="B70" s="68"/>
      <c r="C70" s="68"/>
      <c r="D70" s="68"/>
      <c r="E70" s="68"/>
      <c r="F70" s="68" t="s">
        <v>287</v>
      </c>
      <c r="G70" s="68"/>
      <c r="H70" s="68"/>
      <c r="I70" s="73">
        <f t="shared" ref="I70:I133" si="66">J70+K70+L70+M70</f>
        <v>773.65</v>
      </c>
      <c r="J70" s="73">
        <f t="shared" ref="J70:M70" si="67">SUM(J71)</f>
        <v>0</v>
      </c>
      <c r="K70" s="73">
        <f t="shared" si="67"/>
        <v>773.65</v>
      </c>
      <c r="L70" s="73">
        <f t="shared" si="67"/>
        <v>0</v>
      </c>
      <c r="M70" s="73">
        <f t="shared" si="67"/>
        <v>0</v>
      </c>
      <c r="N70" s="73">
        <f t="shared" ref="N70:N133" si="68">O70+P70+Q70</f>
        <v>0</v>
      </c>
      <c r="O70" s="73">
        <f t="shared" ref="O70:S70" si="69">SUM(O71)</f>
        <v>0</v>
      </c>
      <c r="P70" s="73">
        <f t="shared" si="69"/>
        <v>0</v>
      </c>
      <c r="Q70" s="73">
        <f t="shared" si="69"/>
        <v>0</v>
      </c>
      <c r="R70" s="73">
        <f t="shared" si="69"/>
        <v>0</v>
      </c>
      <c r="S70" s="73">
        <f t="shared" si="69"/>
        <v>0</v>
      </c>
      <c r="T70" s="73">
        <f t="shared" ref="T70:T133" si="70">U70+V70+W70+X70+Y70</f>
        <v>773.65</v>
      </c>
      <c r="U70" s="73">
        <f t="shared" ref="U70:AA70" si="71">SUM(U71)</f>
        <v>0</v>
      </c>
      <c r="V70" s="73">
        <f t="shared" si="71"/>
        <v>773.65</v>
      </c>
      <c r="W70" s="73">
        <f t="shared" si="71"/>
        <v>0</v>
      </c>
      <c r="X70" s="73">
        <f t="shared" si="71"/>
        <v>0</v>
      </c>
      <c r="Y70" s="73">
        <f t="shared" si="71"/>
        <v>0</v>
      </c>
      <c r="Z70" s="73">
        <f t="shared" si="71"/>
        <v>0</v>
      </c>
      <c r="AA70" s="80">
        <f t="shared" si="71"/>
        <v>0</v>
      </c>
      <c r="AB70" s="81" t="s">
        <v>245</v>
      </c>
    </row>
    <row r="71" ht="26.25" customHeight="1" spans="1:28">
      <c r="A71" s="67">
        <f>71-6</f>
        <v>65</v>
      </c>
      <c r="B71" s="68"/>
      <c r="C71" s="68"/>
      <c r="D71" s="68"/>
      <c r="E71" s="68"/>
      <c r="F71" s="68"/>
      <c r="G71" s="68" t="s">
        <v>299</v>
      </c>
      <c r="H71" s="68"/>
      <c r="I71" s="73">
        <f t="shared" si="66"/>
        <v>773.65</v>
      </c>
      <c r="J71" s="73">
        <f t="shared" ref="J71:M71" si="72">SUM(J72:J76)</f>
        <v>0</v>
      </c>
      <c r="K71" s="73">
        <f t="shared" si="72"/>
        <v>773.65</v>
      </c>
      <c r="L71" s="73">
        <f t="shared" si="72"/>
        <v>0</v>
      </c>
      <c r="M71" s="73">
        <f t="shared" si="72"/>
        <v>0</v>
      </c>
      <c r="N71" s="73">
        <f t="shared" si="68"/>
        <v>0</v>
      </c>
      <c r="O71" s="73">
        <f t="shared" ref="O71:S71" si="73">SUM(O72:O76)</f>
        <v>0</v>
      </c>
      <c r="P71" s="73">
        <f t="shared" si="73"/>
        <v>0</v>
      </c>
      <c r="Q71" s="73">
        <f t="shared" si="73"/>
        <v>0</v>
      </c>
      <c r="R71" s="73">
        <f t="shared" si="73"/>
        <v>0</v>
      </c>
      <c r="S71" s="73">
        <f t="shared" si="73"/>
        <v>0</v>
      </c>
      <c r="T71" s="73">
        <f t="shared" si="70"/>
        <v>773.65</v>
      </c>
      <c r="U71" s="73">
        <f t="shared" ref="U71:AA71" si="74">SUM(U72:U76)</f>
        <v>0</v>
      </c>
      <c r="V71" s="73">
        <f t="shared" si="74"/>
        <v>773.65</v>
      </c>
      <c r="W71" s="73">
        <f t="shared" si="74"/>
        <v>0</v>
      </c>
      <c r="X71" s="73">
        <f t="shared" si="74"/>
        <v>0</v>
      </c>
      <c r="Y71" s="73">
        <f t="shared" si="74"/>
        <v>0</v>
      </c>
      <c r="Z71" s="73">
        <f t="shared" si="74"/>
        <v>0</v>
      </c>
      <c r="AA71" s="80">
        <f t="shared" si="74"/>
        <v>0</v>
      </c>
      <c r="AB71" s="73"/>
    </row>
    <row r="72" ht="26.25" customHeight="1" spans="1:28">
      <c r="A72" s="67">
        <f>72-6</f>
        <v>66</v>
      </c>
      <c r="B72" s="68"/>
      <c r="C72" s="68"/>
      <c r="D72" s="68"/>
      <c r="E72" s="68"/>
      <c r="F72" s="68"/>
      <c r="G72" s="68"/>
      <c r="H72" s="68" t="s">
        <v>300</v>
      </c>
      <c r="I72" s="73">
        <f t="shared" si="66"/>
        <v>100.23</v>
      </c>
      <c r="J72" s="73"/>
      <c r="K72" s="73">
        <v>100.23</v>
      </c>
      <c r="L72" s="73"/>
      <c r="M72" s="73"/>
      <c r="N72" s="73">
        <f t="shared" si="68"/>
        <v>0</v>
      </c>
      <c r="O72" s="73"/>
      <c r="P72" s="73"/>
      <c r="Q72" s="73"/>
      <c r="R72" s="73"/>
      <c r="S72" s="73"/>
      <c r="T72" s="73">
        <f t="shared" si="70"/>
        <v>100.23</v>
      </c>
      <c r="U72" s="73"/>
      <c r="V72" s="73">
        <v>100.23</v>
      </c>
      <c r="W72" s="73"/>
      <c r="X72" s="73"/>
      <c r="Y72" s="73"/>
      <c r="Z72" s="73"/>
      <c r="AA72" s="80"/>
      <c r="AB72" s="73"/>
    </row>
    <row r="73" ht="26.25" customHeight="1" spans="1:28">
      <c r="A73" s="67">
        <f>73-6</f>
        <v>67</v>
      </c>
      <c r="B73" s="68"/>
      <c r="C73" s="68"/>
      <c r="D73" s="68"/>
      <c r="E73" s="68"/>
      <c r="F73" s="68"/>
      <c r="G73" s="68"/>
      <c r="H73" s="68" t="s">
        <v>301</v>
      </c>
      <c r="I73" s="73">
        <f t="shared" si="66"/>
        <v>104.34</v>
      </c>
      <c r="J73" s="73"/>
      <c r="K73" s="73">
        <v>104.34</v>
      </c>
      <c r="L73" s="73"/>
      <c r="M73" s="73"/>
      <c r="N73" s="73">
        <f t="shared" si="68"/>
        <v>0</v>
      </c>
      <c r="O73" s="73"/>
      <c r="P73" s="73"/>
      <c r="Q73" s="73"/>
      <c r="R73" s="73"/>
      <c r="S73" s="73"/>
      <c r="T73" s="73">
        <f t="shared" si="70"/>
        <v>104.34</v>
      </c>
      <c r="U73" s="73"/>
      <c r="V73" s="73">
        <v>104.34</v>
      </c>
      <c r="W73" s="73"/>
      <c r="X73" s="73"/>
      <c r="Y73" s="73"/>
      <c r="Z73" s="73"/>
      <c r="AA73" s="80"/>
      <c r="AB73" s="73"/>
    </row>
    <row r="74" ht="26.25" customHeight="1" spans="1:28">
      <c r="A74" s="67">
        <f>74-6</f>
        <v>68</v>
      </c>
      <c r="B74" s="68"/>
      <c r="C74" s="68"/>
      <c r="D74" s="68"/>
      <c r="E74" s="68"/>
      <c r="F74" s="68"/>
      <c r="G74" s="68"/>
      <c r="H74" s="68" t="s">
        <v>302</v>
      </c>
      <c r="I74" s="73">
        <f t="shared" si="66"/>
        <v>340.88</v>
      </c>
      <c r="J74" s="73"/>
      <c r="K74" s="73">
        <v>340.88</v>
      </c>
      <c r="L74" s="73"/>
      <c r="M74" s="73"/>
      <c r="N74" s="73">
        <f t="shared" si="68"/>
        <v>0</v>
      </c>
      <c r="O74" s="73"/>
      <c r="P74" s="73"/>
      <c r="Q74" s="73"/>
      <c r="R74" s="73"/>
      <c r="S74" s="73"/>
      <c r="T74" s="73">
        <f t="shared" si="70"/>
        <v>340.88</v>
      </c>
      <c r="U74" s="73"/>
      <c r="V74" s="73">
        <v>340.88</v>
      </c>
      <c r="W74" s="73"/>
      <c r="X74" s="73"/>
      <c r="Y74" s="73"/>
      <c r="Z74" s="73"/>
      <c r="AA74" s="80"/>
      <c r="AB74" s="73"/>
    </row>
    <row r="75" ht="26.25" customHeight="1" spans="1:28">
      <c r="A75" s="67">
        <f>75-6</f>
        <v>69</v>
      </c>
      <c r="B75" s="68"/>
      <c r="C75" s="68"/>
      <c r="D75" s="68"/>
      <c r="E75" s="68"/>
      <c r="F75" s="68"/>
      <c r="G75" s="68"/>
      <c r="H75" s="68" t="s">
        <v>303</v>
      </c>
      <c r="I75" s="73">
        <f t="shared" si="66"/>
        <v>114.58</v>
      </c>
      <c r="J75" s="73"/>
      <c r="K75" s="73">
        <v>114.58</v>
      </c>
      <c r="L75" s="73"/>
      <c r="M75" s="73"/>
      <c r="N75" s="73">
        <f t="shared" si="68"/>
        <v>0</v>
      </c>
      <c r="O75" s="73"/>
      <c r="P75" s="73"/>
      <c r="Q75" s="73"/>
      <c r="R75" s="73"/>
      <c r="S75" s="73"/>
      <c r="T75" s="73">
        <f t="shared" si="70"/>
        <v>114.58</v>
      </c>
      <c r="U75" s="73"/>
      <c r="V75" s="73">
        <v>114.58</v>
      </c>
      <c r="W75" s="73"/>
      <c r="X75" s="73"/>
      <c r="Y75" s="73"/>
      <c r="Z75" s="73"/>
      <c r="AA75" s="80"/>
      <c r="AB75" s="73"/>
    </row>
    <row r="76" ht="26.25" customHeight="1" spans="1:28">
      <c r="A76" s="67">
        <f>76-6</f>
        <v>70</v>
      </c>
      <c r="B76" s="68"/>
      <c r="C76" s="68"/>
      <c r="D76" s="68"/>
      <c r="E76" s="68"/>
      <c r="F76" s="68"/>
      <c r="G76" s="68"/>
      <c r="H76" s="68" t="s">
        <v>304</v>
      </c>
      <c r="I76" s="73">
        <f t="shared" si="66"/>
        <v>113.62</v>
      </c>
      <c r="J76" s="73"/>
      <c r="K76" s="73">
        <v>113.62</v>
      </c>
      <c r="L76" s="73"/>
      <c r="M76" s="73"/>
      <c r="N76" s="73">
        <f t="shared" si="68"/>
        <v>0</v>
      </c>
      <c r="O76" s="73"/>
      <c r="P76" s="73"/>
      <c r="Q76" s="73"/>
      <c r="R76" s="73"/>
      <c r="S76" s="73"/>
      <c r="T76" s="73">
        <f t="shared" si="70"/>
        <v>113.62</v>
      </c>
      <c r="U76" s="73"/>
      <c r="V76" s="73">
        <v>113.62</v>
      </c>
      <c r="W76" s="73"/>
      <c r="X76" s="73"/>
      <c r="Y76" s="73"/>
      <c r="Z76" s="73"/>
      <c r="AA76" s="80"/>
      <c r="AB76" s="73"/>
    </row>
    <row r="77" ht="26.25" customHeight="1" spans="1:28">
      <c r="A77" s="67">
        <f>77-6</f>
        <v>71</v>
      </c>
      <c r="B77" s="68"/>
      <c r="C77" s="68"/>
      <c r="D77" s="68" t="s">
        <v>305</v>
      </c>
      <c r="E77" s="68"/>
      <c r="F77" s="68"/>
      <c r="G77" s="68"/>
      <c r="H77" s="68"/>
      <c r="I77" s="73">
        <f t="shared" si="66"/>
        <v>70</v>
      </c>
      <c r="J77" s="73">
        <f t="shared" ref="J77:M77" si="75">SUM(J78)</f>
        <v>0</v>
      </c>
      <c r="K77" s="73">
        <f t="shared" si="75"/>
        <v>70</v>
      </c>
      <c r="L77" s="73">
        <f t="shared" si="75"/>
        <v>0</v>
      </c>
      <c r="M77" s="73">
        <f t="shared" si="75"/>
        <v>0</v>
      </c>
      <c r="N77" s="73">
        <f t="shared" si="68"/>
        <v>70</v>
      </c>
      <c r="O77" s="73">
        <f t="shared" ref="O77:S77" si="76">SUM(O78)</f>
        <v>70</v>
      </c>
      <c r="P77" s="73">
        <f t="shared" si="76"/>
        <v>0</v>
      </c>
      <c r="Q77" s="73">
        <f t="shared" si="76"/>
        <v>0</v>
      </c>
      <c r="R77" s="73">
        <f t="shared" si="76"/>
        <v>0</v>
      </c>
      <c r="S77" s="73">
        <f t="shared" si="76"/>
        <v>0</v>
      </c>
      <c r="T77" s="73">
        <f t="shared" si="70"/>
        <v>0</v>
      </c>
      <c r="U77" s="73">
        <f t="shared" ref="U77:AA77" si="77">SUM(U78)</f>
        <v>0</v>
      </c>
      <c r="V77" s="73">
        <f t="shared" si="77"/>
        <v>0</v>
      </c>
      <c r="W77" s="73">
        <f t="shared" si="77"/>
        <v>0</v>
      </c>
      <c r="X77" s="73">
        <f t="shared" si="77"/>
        <v>0</v>
      </c>
      <c r="Y77" s="73">
        <f t="shared" si="77"/>
        <v>0</v>
      </c>
      <c r="Z77" s="73">
        <f t="shared" si="77"/>
        <v>0</v>
      </c>
      <c r="AA77" s="80">
        <f t="shared" si="77"/>
        <v>0</v>
      </c>
      <c r="AB77" s="73"/>
    </row>
    <row r="78" ht="26.25" customHeight="1" spans="1:28">
      <c r="A78" s="67">
        <f>78-6</f>
        <v>72</v>
      </c>
      <c r="B78" s="68"/>
      <c r="C78" s="68"/>
      <c r="D78" s="68"/>
      <c r="E78" s="68" t="s">
        <v>65</v>
      </c>
      <c r="F78" s="68"/>
      <c r="G78" s="68"/>
      <c r="H78" s="68"/>
      <c r="I78" s="73">
        <f t="shared" si="66"/>
        <v>70</v>
      </c>
      <c r="J78" s="73">
        <f t="shared" ref="J78:M78" si="78">SUM(J79)</f>
        <v>0</v>
      </c>
      <c r="K78" s="73">
        <f t="shared" si="78"/>
        <v>70</v>
      </c>
      <c r="L78" s="73">
        <f t="shared" si="78"/>
        <v>0</v>
      </c>
      <c r="M78" s="73">
        <f t="shared" si="78"/>
        <v>0</v>
      </c>
      <c r="N78" s="73">
        <f t="shared" si="68"/>
        <v>70</v>
      </c>
      <c r="O78" s="73">
        <f t="shared" ref="O78:S78" si="79">SUM(O79)</f>
        <v>70</v>
      </c>
      <c r="P78" s="73">
        <f t="shared" si="79"/>
        <v>0</v>
      </c>
      <c r="Q78" s="73">
        <f t="shared" si="79"/>
        <v>0</v>
      </c>
      <c r="R78" s="73">
        <f t="shared" si="79"/>
        <v>0</v>
      </c>
      <c r="S78" s="73">
        <f t="shared" si="79"/>
        <v>0</v>
      </c>
      <c r="T78" s="73">
        <f t="shared" si="70"/>
        <v>0</v>
      </c>
      <c r="U78" s="73">
        <f t="shared" ref="U78:AA78" si="80">SUM(U79)</f>
        <v>0</v>
      </c>
      <c r="V78" s="73">
        <f t="shared" si="80"/>
        <v>0</v>
      </c>
      <c r="W78" s="73">
        <f t="shared" si="80"/>
        <v>0</v>
      </c>
      <c r="X78" s="73">
        <f t="shared" si="80"/>
        <v>0</v>
      </c>
      <c r="Y78" s="73">
        <f t="shared" si="80"/>
        <v>0</v>
      </c>
      <c r="Z78" s="73">
        <f t="shared" si="80"/>
        <v>0</v>
      </c>
      <c r="AA78" s="80">
        <f t="shared" si="80"/>
        <v>0</v>
      </c>
      <c r="AB78" s="73"/>
    </row>
    <row r="79" ht="26.25" customHeight="1" spans="1:28">
      <c r="A79" s="67">
        <f>79-6</f>
        <v>73</v>
      </c>
      <c r="B79" s="68"/>
      <c r="C79" s="68"/>
      <c r="D79" s="68"/>
      <c r="E79" s="68"/>
      <c r="F79" s="68" t="s">
        <v>306</v>
      </c>
      <c r="G79" s="68"/>
      <c r="H79" s="68"/>
      <c r="I79" s="73">
        <f t="shared" si="66"/>
        <v>70</v>
      </c>
      <c r="J79" s="73">
        <f t="shared" ref="J79:M79" si="81">SUM(J80)</f>
        <v>0</v>
      </c>
      <c r="K79" s="73">
        <f t="shared" si="81"/>
        <v>70</v>
      </c>
      <c r="L79" s="73">
        <f t="shared" si="81"/>
        <v>0</v>
      </c>
      <c r="M79" s="73">
        <f t="shared" si="81"/>
        <v>0</v>
      </c>
      <c r="N79" s="73">
        <f t="shared" si="68"/>
        <v>70</v>
      </c>
      <c r="O79" s="73">
        <f t="shared" ref="O79:S79" si="82">SUM(O80)</f>
        <v>70</v>
      </c>
      <c r="P79" s="73">
        <f t="shared" si="82"/>
        <v>0</v>
      </c>
      <c r="Q79" s="73">
        <f t="shared" si="82"/>
        <v>0</v>
      </c>
      <c r="R79" s="73">
        <f t="shared" si="82"/>
        <v>0</v>
      </c>
      <c r="S79" s="73">
        <f t="shared" si="82"/>
        <v>0</v>
      </c>
      <c r="T79" s="73">
        <f t="shared" si="70"/>
        <v>0</v>
      </c>
      <c r="U79" s="73">
        <f t="shared" ref="U79:AA79" si="83">SUM(U80)</f>
        <v>0</v>
      </c>
      <c r="V79" s="73">
        <f t="shared" si="83"/>
        <v>0</v>
      </c>
      <c r="W79" s="73">
        <f t="shared" si="83"/>
        <v>0</v>
      </c>
      <c r="X79" s="73">
        <f t="shared" si="83"/>
        <v>0</v>
      </c>
      <c r="Y79" s="73">
        <f t="shared" si="83"/>
        <v>0</v>
      </c>
      <c r="Z79" s="73">
        <f t="shared" si="83"/>
        <v>0</v>
      </c>
      <c r="AA79" s="80">
        <f t="shared" si="83"/>
        <v>0</v>
      </c>
      <c r="AB79" s="81" t="s">
        <v>245</v>
      </c>
    </row>
    <row r="80" ht="26.25" customHeight="1" spans="1:28">
      <c r="A80" s="67">
        <f>80-6</f>
        <v>74</v>
      </c>
      <c r="B80" s="68"/>
      <c r="C80" s="68"/>
      <c r="D80" s="68"/>
      <c r="E80" s="68"/>
      <c r="F80" s="68"/>
      <c r="G80" s="68" t="s">
        <v>307</v>
      </c>
      <c r="H80" s="68"/>
      <c r="I80" s="73">
        <f t="shared" si="66"/>
        <v>70</v>
      </c>
      <c r="J80" s="73">
        <f t="shared" ref="J80:M80" si="84">SUM(J81)</f>
        <v>0</v>
      </c>
      <c r="K80" s="73">
        <f t="shared" si="84"/>
        <v>70</v>
      </c>
      <c r="L80" s="73">
        <f t="shared" si="84"/>
        <v>0</v>
      </c>
      <c r="M80" s="73">
        <f t="shared" si="84"/>
        <v>0</v>
      </c>
      <c r="N80" s="73">
        <f t="shared" si="68"/>
        <v>70</v>
      </c>
      <c r="O80" s="73">
        <f t="shared" ref="O80:S80" si="85">SUM(O81)</f>
        <v>70</v>
      </c>
      <c r="P80" s="73">
        <f t="shared" si="85"/>
        <v>0</v>
      </c>
      <c r="Q80" s="73">
        <f t="shared" si="85"/>
        <v>0</v>
      </c>
      <c r="R80" s="73">
        <f t="shared" si="85"/>
        <v>0</v>
      </c>
      <c r="S80" s="73">
        <f t="shared" si="85"/>
        <v>0</v>
      </c>
      <c r="T80" s="73">
        <f t="shared" si="70"/>
        <v>0</v>
      </c>
      <c r="U80" s="73">
        <f t="shared" ref="U80:AA80" si="86">SUM(U81)</f>
        <v>0</v>
      </c>
      <c r="V80" s="73">
        <f t="shared" si="86"/>
        <v>0</v>
      </c>
      <c r="W80" s="73">
        <f t="shared" si="86"/>
        <v>0</v>
      </c>
      <c r="X80" s="73">
        <f t="shared" si="86"/>
        <v>0</v>
      </c>
      <c r="Y80" s="73">
        <f t="shared" si="86"/>
        <v>0</v>
      </c>
      <c r="Z80" s="73">
        <f t="shared" si="86"/>
        <v>0</v>
      </c>
      <c r="AA80" s="80">
        <f t="shared" si="86"/>
        <v>0</v>
      </c>
      <c r="AB80" s="73"/>
    </row>
    <row r="81" ht="26.25" customHeight="1" spans="1:28">
      <c r="A81" s="67">
        <f>81-6</f>
        <v>75</v>
      </c>
      <c r="B81" s="68"/>
      <c r="C81" s="68"/>
      <c r="D81" s="68"/>
      <c r="E81" s="68"/>
      <c r="F81" s="68"/>
      <c r="G81" s="68"/>
      <c r="H81" s="68" t="s">
        <v>308</v>
      </c>
      <c r="I81" s="73">
        <f t="shared" si="66"/>
        <v>70</v>
      </c>
      <c r="J81" s="73"/>
      <c r="K81" s="73">
        <v>70</v>
      </c>
      <c r="L81" s="73"/>
      <c r="M81" s="73"/>
      <c r="N81" s="73">
        <f t="shared" si="68"/>
        <v>70</v>
      </c>
      <c r="O81" s="73">
        <v>70</v>
      </c>
      <c r="P81" s="73"/>
      <c r="Q81" s="73"/>
      <c r="R81" s="73"/>
      <c r="S81" s="73"/>
      <c r="T81" s="73">
        <f t="shared" si="70"/>
        <v>0</v>
      </c>
      <c r="U81" s="73"/>
      <c r="V81" s="73"/>
      <c r="W81" s="73"/>
      <c r="X81" s="73"/>
      <c r="Y81" s="73"/>
      <c r="Z81" s="73"/>
      <c r="AA81" s="80"/>
      <c r="AB81" s="73"/>
    </row>
    <row r="82" ht="26.25" customHeight="1" spans="1:28">
      <c r="A82" s="67">
        <f>82-6</f>
        <v>76</v>
      </c>
      <c r="B82" s="68"/>
      <c r="C82" s="68"/>
      <c r="D82" s="68" t="s">
        <v>309</v>
      </c>
      <c r="E82" s="68"/>
      <c r="F82" s="68"/>
      <c r="G82" s="68"/>
      <c r="H82" s="68"/>
      <c r="I82" s="73">
        <f t="shared" si="66"/>
        <v>440.1</v>
      </c>
      <c r="J82" s="73">
        <f t="shared" ref="J82:M82" si="87">SUM(J83)</f>
        <v>0</v>
      </c>
      <c r="K82" s="73">
        <f t="shared" si="87"/>
        <v>440.1</v>
      </c>
      <c r="L82" s="73">
        <f t="shared" si="87"/>
        <v>0</v>
      </c>
      <c r="M82" s="73">
        <f t="shared" si="87"/>
        <v>0</v>
      </c>
      <c r="N82" s="73">
        <f t="shared" si="68"/>
        <v>420.1</v>
      </c>
      <c r="O82" s="73">
        <f t="shared" ref="O82:S82" si="88">SUM(O83)</f>
        <v>420.1</v>
      </c>
      <c r="P82" s="73">
        <f t="shared" si="88"/>
        <v>0</v>
      </c>
      <c r="Q82" s="73">
        <f t="shared" si="88"/>
        <v>0</v>
      </c>
      <c r="R82" s="73">
        <f t="shared" si="88"/>
        <v>0</v>
      </c>
      <c r="S82" s="73">
        <f t="shared" si="88"/>
        <v>0</v>
      </c>
      <c r="T82" s="73">
        <f t="shared" si="70"/>
        <v>20</v>
      </c>
      <c r="U82" s="73">
        <f t="shared" ref="U82:AA82" si="89">SUM(U83)</f>
        <v>0</v>
      </c>
      <c r="V82" s="73">
        <f t="shared" si="89"/>
        <v>20</v>
      </c>
      <c r="W82" s="73">
        <f t="shared" si="89"/>
        <v>0</v>
      </c>
      <c r="X82" s="73">
        <f t="shared" si="89"/>
        <v>0</v>
      </c>
      <c r="Y82" s="73">
        <f t="shared" si="89"/>
        <v>0</v>
      </c>
      <c r="Z82" s="73">
        <f t="shared" si="89"/>
        <v>0</v>
      </c>
      <c r="AA82" s="80">
        <f t="shared" si="89"/>
        <v>128</v>
      </c>
      <c r="AB82" s="73"/>
    </row>
    <row r="83" ht="26.25" customHeight="1" spans="1:28">
      <c r="A83" s="67">
        <f>83-6</f>
        <v>77</v>
      </c>
      <c r="B83" s="68"/>
      <c r="C83" s="68"/>
      <c r="D83" s="68"/>
      <c r="E83" s="68" t="s">
        <v>66</v>
      </c>
      <c r="F83" s="68"/>
      <c r="G83" s="68"/>
      <c r="H83" s="68"/>
      <c r="I83" s="73">
        <f t="shared" si="66"/>
        <v>440.1</v>
      </c>
      <c r="J83" s="73">
        <f t="shared" ref="J83:M83" si="90">SUM(J84)</f>
        <v>0</v>
      </c>
      <c r="K83" s="73">
        <f t="shared" si="90"/>
        <v>440.1</v>
      </c>
      <c r="L83" s="73">
        <f t="shared" si="90"/>
        <v>0</v>
      </c>
      <c r="M83" s="73">
        <f t="shared" si="90"/>
        <v>0</v>
      </c>
      <c r="N83" s="73">
        <f t="shared" si="68"/>
        <v>420.1</v>
      </c>
      <c r="O83" s="73">
        <f t="shared" ref="O83:S83" si="91">SUM(O84)</f>
        <v>420.1</v>
      </c>
      <c r="P83" s="73">
        <f t="shared" si="91"/>
        <v>0</v>
      </c>
      <c r="Q83" s="73">
        <f t="shared" si="91"/>
        <v>0</v>
      </c>
      <c r="R83" s="73">
        <f t="shared" si="91"/>
        <v>0</v>
      </c>
      <c r="S83" s="73">
        <f t="shared" si="91"/>
        <v>0</v>
      </c>
      <c r="T83" s="73">
        <f t="shared" si="70"/>
        <v>20</v>
      </c>
      <c r="U83" s="73">
        <f t="shared" ref="U83:AA83" si="92">SUM(U84)</f>
        <v>0</v>
      </c>
      <c r="V83" s="73">
        <f t="shared" si="92"/>
        <v>20</v>
      </c>
      <c r="W83" s="73">
        <f t="shared" si="92"/>
        <v>0</v>
      </c>
      <c r="X83" s="73">
        <f t="shared" si="92"/>
        <v>0</v>
      </c>
      <c r="Y83" s="73">
        <f t="shared" si="92"/>
        <v>0</v>
      </c>
      <c r="Z83" s="73">
        <f t="shared" si="92"/>
        <v>0</v>
      </c>
      <c r="AA83" s="80">
        <f t="shared" si="92"/>
        <v>128</v>
      </c>
      <c r="AB83" s="73"/>
    </row>
    <row r="84" ht="26.25" customHeight="1" spans="1:28">
      <c r="A84" s="67">
        <f>84-6</f>
        <v>78</v>
      </c>
      <c r="B84" s="68"/>
      <c r="C84" s="68"/>
      <c r="D84" s="68"/>
      <c r="E84" s="68"/>
      <c r="F84" s="68" t="s">
        <v>287</v>
      </c>
      <c r="G84" s="68"/>
      <c r="H84" s="68"/>
      <c r="I84" s="73">
        <f t="shared" si="66"/>
        <v>440.1</v>
      </c>
      <c r="J84" s="73">
        <f t="shared" ref="J84:M84" si="93">SUM(J85,J91)</f>
        <v>0</v>
      </c>
      <c r="K84" s="73">
        <f t="shared" si="93"/>
        <v>440.1</v>
      </c>
      <c r="L84" s="73">
        <f t="shared" si="93"/>
        <v>0</v>
      </c>
      <c r="M84" s="73">
        <f t="shared" si="93"/>
        <v>0</v>
      </c>
      <c r="N84" s="73">
        <f t="shared" si="68"/>
        <v>420.1</v>
      </c>
      <c r="O84" s="73">
        <f t="shared" ref="O84:S84" si="94">SUM(O85,O91)</f>
        <v>420.1</v>
      </c>
      <c r="P84" s="73">
        <f t="shared" si="94"/>
        <v>0</v>
      </c>
      <c r="Q84" s="73">
        <f t="shared" si="94"/>
        <v>0</v>
      </c>
      <c r="R84" s="73">
        <f t="shared" si="94"/>
        <v>0</v>
      </c>
      <c r="S84" s="73">
        <f t="shared" si="94"/>
        <v>0</v>
      </c>
      <c r="T84" s="73">
        <f t="shared" si="70"/>
        <v>20</v>
      </c>
      <c r="U84" s="73">
        <f t="shared" ref="U84:AA84" si="95">SUM(U85,U91)</f>
        <v>0</v>
      </c>
      <c r="V84" s="73">
        <f t="shared" si="95"/>
        <v>20</v>
      </c>
      <c r="W84" s="73">
        <f t="shared" si="95"/>
        <v>0</v>
      </c>
      <c r="X84" s="73">
        <f t="shared" si="95"/>
        <v>0</v>
      </c>
      <c r="Y84" s="73">
        <f t="shared" si="95"/>
        <v>0</v>
      </c>
      <c r="Z84" s="73">
        <f t="shared" si="95"/>
        <v>0</v>
      </c>
      <c r="AA84" s="80">
        <f t="shared" si="95"/>
        <v>128</v>
      </c>
      <c r="AB84" s="81" t="s">
        <v>245</v>
      </c>
    </row>
    <row r="85" ht="26.25" customHeight="1" spans="1:28">
      <c r="A85" s="67">
        <f>85-6</f>
        <v>79</v>
      </c>
      <c r="B85" s="68"/>
      <c r="C85" s="68"/>
      <c r="D85" s="68"/>
      <c r="E85" s="68"/>
      <c r="F85" s="68"/>
      <c r="G85" s="68" t="s">
        <v>310</v>
      </c>
      <c r="H85" s="68"/>
      <c r="I85" s="73">
        <f t="shared" si="66"/>
        <v>420.1</v>
      </c>
      <c r="J85" s="73">
        <f t="shared" ref="J85:M85" si="96">SUM(J86:J90)</f>
        <v>0</v>
      </c>
      <c r="K85" s="73">
        <f t="shared" si="96"/>
        <v>420.1</v>
      </c>
      <c r="L85" s="73">
        <f t="shared" si="96"/>
        <v>0</v>
      </c>
      <c r="M85" s="73">
        <f t="shared" si="96"/>
        <v>0</v>
      </c>
      <c r="N85" s="73">
        <f t="shared" si="68"/>
        <v>420.1</v>
      </c>
      <c r="O85" s="73">
        <f t="shared" ref="O85:S85" si="97">SUM(O86:O90)</f>
        <v>420.1</v>
      </c>
      <c r="P85" s="73">
        <f t="shared" si="97"/>
        <v>0</v>
      </c>
      <c r="Q85" s="73">
        <f t="shared" si="97"/>
        <v>0</v>
      </c>
      <c r="R85" s="73">
        <f t="shared" si="97"/>
        <v>0</v>
      </c>
      <c r="S85" s="73">
        <f t="shared" si="97"/>
        <v>0</v>
      </c>
      <c r="T85" s="73">
        <f t="shared" si="70"/>
        <v>0</v>
      </c>
      <c r="U85" s="73">
        <f t="shared" ref="U85:AA85" si="98">SUM(U86:U90)</f>
        <v>0</v>
      </c>
      <c r="V85" s="73">
        <f t="shared" si="98"/>
        <v>0</v>
      </c>
      <c r="W85" s="73">
        <f t="shared" si="98"/>
        <v>0</v>
      </c>
      <c r="X85" s="73">
        <f t="shared" si="98"/>
        <v>0</v>
      </c>
      <c r="Y85" s="73">
        <f t="shared" si="98"/>
        <v>0</v>
      </c>
      <c r="Z85" s="73">
        <f t="shared" si="98"/>
        <v>0</v>
      </c>
      <c r="AA85" s="80">
        <f t="shared" si="98"/>
        <v>128</v>
      </c>
      <c r="AB85" s="73"/>
    </row>
    <row r="86" ht="26.25" customHeight="1" spans="1:28">
      <c r="A86" s="67">
        <f>86-6</f>
        <v>80</v>
      </c>
      <c r="B86" s="68"/>
      <c r="C86" s="68"/>
      <c r="D86" s="68"/>
      <c r="E86" s="68"/>
      <c r="F86" s="68"/>
      <c r="G86" s="68"/>
      <c r="H86" s="68" t="s">
        <v>311</v>
      </c>
      <c r="I86" s="73">
        <f t="shared" si="66"/>
        <v>128</v>
      </c>
      <c r="J86" s="73"/>
      <c r="K86" s="73">
        <v>128</v>
      </c>
      <c r="L86" s="73"/>
      <c r="M86" s="73"/>
      <c r="N86" s="73">
        <f t="shared" si="68"/>
        <v>128</v>
      </c>
      <c r="O86" s="73">
        <v>128</v>
      </c>
      <c r="P86" s="73"/>
      <c r="Q86" s="73"/>
      <c r="R86" s="73"/>
      <c r="S86" s="73"/>
      <c r="T86" s="73">
        <f t="shared" si="70"/>
        <v>0</v>
      </c>
      <c r="U86" s="73"/>
      <c r="V86" s="73"/>
      <c r="W86" s="73"/>
      <c r="X86" s="73"/>
      <c r="Y86" s="73"/>
      <c r="Z86" s="73"/>
      <c r="AA86" s="80">
        <v>128</v>
      </c>
      <c r="AB86" s="73"/>
    </row>
    <row r="87" ht="26.25" customHeight="1" spans="1:28">
      <c r="A87" s="67">
        <f>87-6</f>
        <v>81</v>
      </c>
      <c r="B87" s="68"/>
      <c r="C87" s="68"/>
      <c r="D87" s="68"/>
      <c r="E87" s="68"/>
      <c r="F87" s="68"/>
      <c r="G87" s="68"/>
      <c r="H87" s="68" t="s">
        <v>312</v>
      </c>
      <c r="I87" s="73">
        <f t="shared" si="66"/>
        <v>26</v>
      </c>
      <c r="J87" s="73"/>
      <c r="K87" s="73">
        <v>26</v>
      </c>
      <c r="L87" s="73"/>
      <c r="M87" s="73"/>
      <c r="N87" s="73">
        <f t="shared" si="68"/>
        <v>26</v>
      </c>
      <c r="O87" s="73">
        <v>26</v>
      </c>
      <c r="P87" s="73"/>
      <c r="Q87" s="73"/>
      <c r="R87" s="73"/>
      <c r="S87" s="73"/>
      <c r="T87" s="73">
        <f t="shared" si="70"/>
        <v>0</v>
      </c>
      <c r="U87" s="73"/>
      <c r="V87" s="73"/>
      <c r="W87" s="73"/>
      <c r="X87" s="73"/>
      <c r="Y87" s="73"/>
      <c r="Z87" s="73"/>
      <c r="AA87" s="80"/>
      <c r="AB87" s="73"/>
    </row>
    <row r="88" ht="26.25" customHeight="1" spans="1:28">
      <c r="A88" s="67">
        <f>88-6</f>
        <v>82</v>
      </c>
      <c r="B88" s="68"/>
      <c r="C88" s="68"/>
      <c r="D88" s="68"/>
      <c r="E88" s="68"/>
      <c r="F88" s="68"/>
      <c r="G88" s="68"/>
      <c r="H88" s="68" t="s">
        <v>313</v>
      </c>
      <c r="I88" s="73">
        <f t="shared" si="66"/>
        <v>28</v>
      </c>
      <c r="J88" s="73"/>
      <c r="K88" s="73">
        <v>28</v>
      </c>
      <c r="L88" s="73"/>
      <c r="M88" s="73"/>
      <c r="N88" s="73">
        <f t="shared" si="68"/>
        <v>28</v>
      </c>
      <c r="O88" s="73">
        <v>28</v>
      </c>
      <c r="P88" s="73"/>
      <c r="Q88" s="73"/>
      <c r="R88" s="73"/>
      <c r="S88" s="73"/>
      <c r="T88" s="73">
        <f t="shared" si="70"/>
        <v>0</v>
      </c>
      <c r="U88" s="73"/>
      <c r="V88" s="73"/>
      <c r="W88" s="73"/>
      <c r="X88" s="73"/>
      <c r="Y88" s="73"/>
      <c r="Z88" s="73"/>
      <c r="AA88" s="80"/>
      <c r="AB88" s="73"/>
    </row>
    <row r="89" ht="26.25" customHeight="1" spans="1:28">
      <c r="A89" s="67">
        <f>89-6</f>
        <v>83</v>
      </c>
      <c r="B89" s="68"/>
      <c r="C89" s="68"/>
      <c r="D89" s="68"/>
      <c r="E89" s="68"/>
      <c r="F89" s="68"/>
      <c r="G89" s="68"/>
      <c r="H89" s="68" t="s">
        <v>314</v>
      </c>
      <c r="I89" s="73">
        <f t="shared" si="66"/>
        <v>15</v>
      </c>
      <c r="J89" s="73"/>
      <c r="K89" s="73">
        <v>15</v>
      </c>
      <c r="L89" s="73"/>
      <c r="M89" s="73"/>
      <c r="N89" s="73">
        <f t="shared" si="68"/>
        <v>15</v>
      </c>
      <c r="O89" s="73">
        <v>15</v>
      </c>
      <c r="P89" s="73"/>
      <c r="Q89" s="73"/>
      <c r="R89" s="73"/>
      <c r="S89" s="73"/>
      <c r="T89" s="73">
        <f t="shared" si="70"/>
        <v>0</v>
      </c>
      <c r="U89" s="73"/>
      <c r="V89" s="73"/>
      <c r="W89" s="73"/>
      <c r="X89" s="73"/>
      <c r="Y89" s="73"/>
      <c r="Z89" s="73"/>
      <c r="AA89" s="80"/>
      <c r="AB89" s="73"/>
    </row>
    <row r="90" ht="26.25" customHeight="1" spans="1:28">
      <c r="A90" s="67">
        <f>90-6</f>
        <v>84</v>
      </c>
      <c r="B90" s="68"/>
      <c r="C90" s="68"/>
      <c r="D90" s="68"/>
      <c r="E90" s="68"/>
      <c r="F90" s="68"/>
      <c r="G90" s="68"/>
      <c r="H90" s="68" t="s">
        <v>315</v>
      </c>
      <c r="I90" s="73">
        <f t="shared" si="66"/>
        <v>223.1</v>
      </c>
      <c r="J90" s="73"/>
      <c r="K90" s="73">
        <v>223.1</v>
      </c>
      <c r="L90" s="73"/>
      <c r="M90" s="73"/>
      <c r="N90" s="73">
        <f t="shared" si="68"/>
        <v>223.1</v>
      </c>
      <c r="O90" s="73">
        <v>223.1</v>
      </c>
      <c r="P90" s="73"/>
      <c r="Q90" s="73"/>
      <c r="R90" s="73"/>
      <c r="S90" s="73"/>
      <c r="T90" s="73">
        <f t="shared" si="70"/>
        <v>0</v>
      </c>
      <c r="U90" s="73"/>
      <c r="V90" s="73"/>
      <c r="W90" s="73"/>
      <c r="X90" s="73"/>
      <c r="Y90" s="73"/>
      <c r="Z90" s="73"/>
      <c r="AA90" s="80"/>
      <c r="AB90" s="73"/>
    </row>
    <row r="91" ht="26.25" customHeight="1" spans="1:28">
      <c r="A91" s="67">
        <f>91-6</f>
        <v>85</v>
      </c>
      <c r="B91" s="68"/>
      <c r="C91" s="68"/>
      <c r="D91" s="68"/>
      <c r="E91" s="68"/>
      <c r="F91" s="68"/>
      <c r="G91" s="68" t="s">
        <v>316</v>
      </c>
      <c r="H91" s="68"/>
      <c r="I91" s="73">
        <f t="shared" si="66"/>
        <v>20</v>
      </c>
      <c r="J91" s="73">
        <f t="shared" ref="J91:M91" si="99">SUM(J92)</f>
        <v>0</v>
      </c>
      <c r="K91" s="73">
        <f t="shared" si="99"/>
        <v>20</v>
      </c>
      <c r="L91" s="73">
        <f t="shared" si="99"/>
        <v>0</v>
      </c>
      <c r="M91" s="73">
        <f t="shared" si="99"/>
        <v>0</v>
      </c>
      <c r="N91" s="73">
        <f t="shared" si="68"/>
        <v>0</v>
      </c>
      <c r="O91" s="73">
        <f t="shared" ref="O91:S91" si="100">SUM(O92)</f>
        <v>0</v>
      </c>
      <c r="P91" s="73">
        <f t="shared" si="100"/>
        <v>0</v>
      </c>
      <c r="Q91" s="73">
        <f t="shared" si="100"/>
        <v>0</v>
      </c>
      <c r="R91" s="73">
        <f t="shared" si="100"/>
        <v>0</v>
      </c>
      <c r="S91" s="73">
        <f t="shared" si="100"/>
        <v>0</v>
      </c>
      <c r="T91" s="73">
        <f t="shared" si="70"/>
        <v>20</v>
      </c>
      <c r="U91" s="73">
        <f t="shared" ref="U91:AA91" si="101">SUM(U92)</f>
        <v>0</v>
      </c>
      <c r="V91" s="73">
        <f t="shared" si="101"/>
        <v>20</v>
      </c>
      <c r="W91" s="73">
        <f t="shared" si="101"/>
        <v>0</v>
      </c>
      <c r="X91" s="73">
        <f t="shared" si="101"/>
        <v>0</v>
      </c>
      <c r="Y91" s="73">
        <f t="shared" si="101"/>
        <v>0</v>
      </c>
      <c r="Z91" s="73">
        <f t="shared" si="101"/>
        <v>0</v>
      </c>
      <c r="AA91" s="80">
        <f t="shared" si="101"/>
        <v>0</v>
      </c>
      <c r="AB91" s="73"/>
    </row>
    <row r="92" ht="26.25" customHeight="1" spans="1:28">
      <c r="A92" s="67">
        <f>92-6</f>
        <v>86</v>
      </c>
      <c r="B92" s="68"/>
      <c r="C92" s="68"/>
      <c r="D92" s="68"/>
      <c r="E92" s="68"/>
      <c r="F92" s="68"/>
      <c r="G92" s="68"/>
      <c r="H92" s="68" t="s">
        <v>316</v>
      </c>
      <c r="I92" s="73">
        <f t="shared" si="66"/>
        <v>20</v>
      </c>
      <c r="J92" s="73"/>
      <c r="K92" s="73">
        <v>20</v>
      </c>
      <c r="L92" s="73"/>
      <c r="M92" s="73"/>
      <c r="N92" s="73">
        <f t="shared" si="68"/>
        <v>0</v>
      </c>
      <c r="O92" s="73"/>
      <c r="P92" s="73"/>
      <c r="Q92" s="73"/>
      <c r="R92" s="73"/>
      <c r="S92" s="73"/>
      <c r="T92" s="73">
        <f t="shared" si="70"/>
        <v>20</v>
      </c>
      <c r="U92" s="73"/>
      <c r="V92" s="73">
        <v>20</v>
      </c>
      <c r="W92" s="73"/>
      <c r="X92" s="73"/>
      <c r="Y92" s="73"/>
      <c r="Z92" s="73"/>
      <c r="AA92" s="80"/>
      <c r="AB92" s="73"/>
    </row>
    <row r="93" ht="26.25" customHeight="1" spans="1:28">
      <c r="A93" s="67">
        <f>93-6</f>
        <v>87</v>
      </c>
      <c r="B93" s="68"/>
      <c r="C93" s="68"/>
      <c r="D93" s="68" t="s">
        <v>317</v>
      </c>
      <c r="E93" s="68"/>
      <c r="F93" s="68"/>
      <c r="G93" s="68"/>
      <c r="H93" s="68"/>
      <c r="I93" s="73">
        <f t="shared" si="66"/>
        <v>121.07</v>
      </c>
      <c r="J93" s="73">
        <f t="shared" ref="J93:M93" si="102">SUM(J94)</f>
        <v>0</v>
      </c>
      <c r="K93" s="73">
        <f t="shared" si="102"/>
        <v>121.07</v>
      </c>
      <c r="L93" s="73">
        <f t="shared" si="102"/>
        <v>0</v>
      </c>
      <c r="M93" s="73">
        <f t="shared" si="102"/>
        <v>0</v>
      </c>
      <c r="N93" s="73">
        <f t="shared" si="68"/>
        <v>28</v>
      </c>
      <c r="O93" s="73">
        <f t="shared" ref="O93:S93" si="103">SUM(O94)</f>
        <v>28</v>
      </c>
      <c r="P93" s="73">
        <f t="shared" si="103"/>
        <v>0</v>
      </c>
      <c r="Q93" s="73">
        <f t="shared" si="103"/>
        <v>0</v>
      </c>
      <c r="R93" s="73">
        <f t="shared" si="103"/>
        <v>0</v>
      </c>
      <c r="S93" s="73">
        <f t="shared" si="103"/>
        <v>0</v>
      </c>
      <c r="T93" s="73">
        <f t="shared" si="70"/>
        <v>93.07</v>
      </c>
      <c r="U93" s="73">
        <f t="shared" ref="U93:AA93" si="104">SUM(U94)</f>
        <v>0</v>
      </c>
      <c r="V93" s="73">
        <f t="shared" si="104"/>
        <v>93.07</v>
      </c>
      <c r="W93" s="73">
        <f t="shared" si="104"/>
        <v>0</v>
      </c>
      <c r="X93" s="73">
        <f t="shared" si="104"/>
        <v>0</v>
      </c>
      <c r="Y93" s="73">
        <f t="shared" si="104"/>
        <v>0</v>
      </c>
      <c r="Z93" s="73">
        <f t="shared" si="104"/>
        <v>0</v>
      </c>
      <c r="AA93" s="80">
        <f t="shared" si="104"/>
        <v>0</v>
      </c>
      <c r="AB93" s="73"/>
    </row>
    <row r="94" ht="26.25" customHeight="1" spans="1:28">
      <c r="A94" s="67">
        <f>94-6</f>
        <v>88</v>
      </c>
      <c r="B94" s="68"/>
      <c r="C94" s="68"/>
      <c r="D94" s="68"/>
      <c r="E94" s="68" t="s">
        <v>67</v>
      </c>
      <c r="F94" s="68"/>
      <c r="G94" s="68"/>
      <c r="H94" s="68"/>
      <c r="I94" s="73">
        <f t="shared" si="66"/>
        <v>121.07</v>
      </c>
      <c r="J94" s="73">
        <f t="shared" ref="J94:M94" si="105">SUM(J95,J98)</f>
        <v>0</v>
      </c>
      <c r="K94" s="73">
        <f t="shared" si="105"/>
        <v>121.07</v>
      </c>
      <c r="L94" s="73">
        <f t="shared" si="105"/>
        <v>0</v>
      </c>
      <c r="M94" s="73">
        <f t="shared" si="105"/>
        <v>0</v>
      </c>
      <c r="N94" s="73">
        <f t="shared" si="68"/>
        <v>28</v>
      </c>
      <c r="O94" s="73">
        <f t="shared" ref="O94:S94" si="106">SUM(O95,O98)</f>
        <v>28</v>
      </c>
      <c r="P94" s="73">
        <f t="shared" si="106"/>
        <v>0</v>
      </c>
      <c r="Q94" s="73">
        <f t="shared" si="106"/>
        <v>0</v>
      </c>
      <c r="R94" s="73">
        <f t="shared" si="106"/>
        <v>0</v>
      </c>
      <c r="S94" s="73">
        <f t="shared" si="106"/>
        <v>0</v>
      </c>
      <c r="T94" s="73">
        <f t="shared" si="70"/>
        <v>93.07</v>
      </c>
      <c r="U94" s="73">
        <f t="shared" ref="U94:AA94" si="107">SUM(U95,U98)</f>
        <v>0</v>
      </c>
      <c r="V94" s="73">
        <f t="shared" si="107"/>
        <v>93.07</v>
      </c>
      <c r="W94" s="73">
        <f t="shared" si="107"/>
        <v>0</v>
      </c>
      <c r="X94" s="73">
        <f t="shared" si="107"/>
        <v>0</v>
      </c>
      <c r="Y94" s="73">
        <f t="shared" si="107"/>
        <v>0</v>
      </c>
      <c r="Z94" s="73">
        <f t="shared" si="107"/>
        <v>0</v>
      </c>
      <c r="AA94" s="80">
        <f t="shared" si="107"/>
        <v>0</v>
      </c>
      <c r="AB94" s="73"/>
    </row>
    <row r="95" ht="26.25" customHeight="1" spans="1:28">
      <c r="A95" s="67">
        <f>95-6</f>
        <v>89</v>
      </c>
      <c r="B95" s="68"/>
      <c r="C95" s="68"/>
      <c r="D95" s="68"/>
      <c r="E95" s="68"/>
      <c r="F95" s="68" t="s">
        <v>306</v>
      </c>
      <c r="G95" s="68"/>
      <c r="H95" s="68"/>
      <c r="I95" s="73">
        <f t="shared" si="66"/>
        <v>28</v>
      </c>
      <c r="J95" s="73">
        <f t="shared" ref="J95:M95" si="108">SUM(J96)</f>
        <v>0</v>
      </c>
      <c r="K95" s="73">
        <f t="shared" si="108"/>
        <v>28</v>
      </c>
      <c r="L95" s="73">
        <f t="shared" si="108"/>
        <v>0</v>
      </c>
      <c r="M95" s="73">
        <f t="shared" si="108"/>
        <v>0</v>
      </c>
      <c r="N95" s="73">
        <f t="shared" si="68"/>
        <v>28</v>
      </c>
      <c r="O95" s="73">
        <f t="shared" ref="O95:S95" si="109">SUM(O96)</f>
        <v>28</v>
      </c>
      <c r="P95" s="73">
        <f t="shared" si="109"/>
        <v>0</v>
      </c>
      <c r="Q95" s="73">
        <f t="shared" si="109"/>
        <v>0</v>
      </c>
      <c r="R95" s="73">
        <f t="shared" si="109"/>
        <v>0</v>
      </c>
      <c r="S95" s="73">
        <f t="shared" si="109"/>
        <v>0</v>
      </c>
      <c r="T95" s="73">
        <f t="shared" si="70"/>
        <v>0</v>
      </c>
      <c r="U95" s="73">
        <f t="shared" ref="U95:AA95" si="110">SUM(U96)</f>
        <v>0</v>
      </c>
      <c r="V95" s="73">
        <f t="shared" si="110"/>
        <v>0</v>
      </c>
      <c r="W95" s="73">
        <f t="shared" si="110"/>
        <v>0</v>
      </c>
      <c r="X95" s="73">
        <f t="shared" si="110"/>
        <v>0</v>
      </c>
      <c r="Y95" s="73">
        <f t="shared" si="110"/>
        <v>0</v>
      </c>
      <c r="Z95" s="73">
        <f t="shared" si="110"/>
        <v>0</v>
      </c>
      <c r="AA95" s="80">
        <f t="shared" si="110"/>
        <v>0</v>
      </c>
      <c r="AB95" s="81" t="s">
        <v>245</v>
      </c>
    </row>
    <row r="96" ht="26.25" customHeight="1" spans="1:28">
      <c r="A96" s="67">
        <f>96-6</f>
        <v>90</v>
      </c>
      <c r="B96" s="68"/>
      <c r="C96" s="68"/>
      <c r="D96" s="68"/>
      <c r="E96" s="68"/>
      <c r="F96" s="68"/>
      <c r="G96" s="68" t="s">
        <v>318</v>
      </c>
      <c r="H96" s="68"/>
      <c r="I96" s="73">
        <f t="shared" si="66"/>
        <v>28</v>
      </c>
      <c r="J96" s="73">
        <f t="shared" ref="J96:M96" si="111">SUM(J97)</f>
        <v>0</v>
      </c>
      <c r="K96" s="73">
        <f t="shared" si="111"/>
        <v>28</v>
      </c>
      <c r="L96" s="73">
        <f t="shared" si="111"/>
        <v>0</v>
      </c>
      <c r="M96" s="73">
        <f t="shared" si="111"/>
        <v>0</v>
      </c>
      <c r="N96" s="73">
        <f t="shared" si="68"/>
        <v>28</v>
      </c>
      <c r="O96" s="73">
        <f t="shared" ref="O96:S96" si="112">SUM(O97)</f>
        <v>28</v>
      </c>
      <c r="P96" s="73">
        <f t="shared" si="112"/>
        <v>0</v>
      </c>
      <c r="Q96" s="73">
        <f t="shared" si="112"/>
        <v>0</v>
      </c>
      <c r="R96" s="73">
        <f t="shared" si="112"/>
        <v>0</v>
      </c>
      <c r="S96" s="73">
        <f t="shared" si="112"/>
        <v>0</v>
      </c>
      <c r="T96" s="73">
        <f t="shared" si="70"/>
        <v>0</v>
      </c>
      <c r="U96" s="73">
        <f t="shared" ref="U96:AA96" si="113">SUM(U97)</f>
        <v>0</v>
      </c>
      <c r="V96" s="73">
        <f t="shared" si="113"/>
        <v>0</v>
      </c>
      <c r="W96" s="73">
        <f t="shared" si="113"/>
        <v>0</v>
      </c>
      <c r="X96" s="73">
        <f t="shared" si="113"/>
        <v>0</v>
      </c>
      <c r="Y96" s="73">
        <f t="shared" si="113"/>
        <v>0</v>
      </c>
      <c r="Z96" s="73">
        <f t="shared" si="113"/>
        <v>0</v>
      </c>
      <c r="AA96" s="80">
        <f t="shared" si="113"/>
        <v>0</v>
      </c>
      <c r="AB96" s="73"/>
    </row>
    <row r="97" ht="26.25" customHeight="1" spans="1:28">
      <c r="A97" s="67">
        <f>97-6</f>
        <v>91</v>
      </c>
      <c r="B97" s="68"/>
      <c r="C97" s="68"/>
      <c r="D97" s="68"/>
      <c r="E97" s="68"/>
      <c r="F97" s="68"/>
      <c r="G97" s="68"/>
      <c r="H97" s="68" t="s">
        <v>319</v>
      </c>
      <c r="I97" s="73">
        <f t="shared" si="66"/>
        <v>28</v>
      </c>
      <c r="J97" s="73"/>
      <c r="K97" s="73">
        <v>28</v>
      </c>
      <c r="L97" s="73"/>
      <c r="M97" s="73"/>
      <c r="N97" s="73">
        <f t="shared" si="68"/>
        <v>28</v>
      </c>
      <c r="O97" s="73">
        <v>28</v>
      </c>
      <c r="P97" s="73"/>
      <c r="Q97" s="73"/>
      <c r="R97" s="73"/>
      <c r="S97" s="73"/>
      <c r="T97" s="73">
        <f t="shared" si="70"/>
        <v>0</v>
      </c>
      <c r="U97" s="73"/>
      <c r="V97" s="73"/>
      <c r="W97" s="73"/>
      <c r="X97" s="73"/>
      <c r="Y97" s="73"/>
      <c r="Z97" s="73"/>
      <c r="AA97" s="80"/>
      <c r="AB97" s="73"/>
    </row>
    <row r="98" ht="26.25" customHeight="1" spans="1:28">
      <c r="A98" s="67">
        <f>98-6</f>
        <v>92</v>
      </c>
      <c r="B98" s="68"/>
      <c r="C98" s="68"/>
      <c r="D98" s="68"/>
      <c r="E98" s="68"/>
      <c r="F98" s="68" t="s">
        <v>287</v>
      </c>
      <c r="G98" s="68"/>
      <c r="H98" s="68"/>
      <c r="I98" s="73">
        <f t="shared" si="66"/>
        <v>93.07</v>
      </c>
      <c r="J98" s="73">
        <f t="shared" ref="J98:M98" si="114">SUM(J99)</f>
        <v>0</v>
      </c>
      <c r="K98" s="73">
        <f t="shared" si="114"/>
        <v>93.07</v>
      </c>
      <c r="L98" s="73">
        <f t="shared" si="114"/>
        <v>0</v>
      </c>
      <c r="M98" s="73">
        <f t="shared" si="114"/>
        <v>0</v>
      </c>
      <c r="N98" s="73">
        <f t="shared" si="68"/>
        <v>0</v>
      </c>
      <c r="O98" s="73">
        <f t="shared" ref="O98:S98" si="115">SUM(O99)</f>
        <v>0</v>
      </c>
      <c r="P98" s="73">
        <f t="shared" si="115"/>
        <v>0</v>
      </c>
      <c r="Q98" s="73">
        <f t="shared" si="115"/>
        <v>0</v>
      </c>
      <c r="R98" s="73">
        <f t="shared" si="115"/>
        <v>0</v>
      </c>
      <c r="S98" s="73">
        <f t="shared" si="115"/>
        <v>0</v>
      </c>
      <c r="T98" s="73">
        <f t="shared" si="70"/>
        <v>93.07</v>
      </c>
      <c r="U98" s="73">
        <f t="shared" ref="U98:AA98" si="116">SUM(U99)</f>
        <v>0</v>
      </c>
      <c r="V98" s="73">
        <f t="shared" si="116"/>
        <v>93.07</v>
      </c>
      <c r="W98" s="73">
        <f t="shared" si="116"/>
        <v>0</v>
      </c>
      <c r="X98" s="73">
        <f t="shared" si="116"/>
        <v>0</v>
      </c>
      <c r="Y98" s="73">
        <f t="shared" si="116"/>
        <v>0</v>
      </c>
      <c r="Z98" s="73">
        <f t="shared" si="116"/>
        <v>0</v>
      </c>
      <c r="AA98" s="80">
        <f t="shared" si="116"/>
        <v>0</v>
      </c>
      <c r="AB98" s="81" t="s">
        <v>245</v>
      </c>
    </row>
    <row r="99" ht="26.25" customHeight="1" spans="1:28">
      <c r="A99" s="67">
        <f>99-6</f>
        <v>93</v>
      </c>
      <c r="B99" s="68"/>
      <c r="C99" s="68"/>
      <c r="D99" s="68"/>
      <c r="E99" s="68"/>
      <c r="F99" s="68"/>
      <c r="G99" s="68" t="s">
        <v>320</v>
      </c>
      <c r="H99" s="68"/>
      <c r="I99" s="73">
        <f t="shared" si="66"/>
        <v>93.07</v>
      </c>
      <c r="J99" s="73">
        <f t="shared" ref="J99:M99" si="117">SUM(J100)</f>
        <v>0</v>
      </c>
      <c r="K99" s="73">
        <f t="shared" si="117"/>
        <v>93.07</v>
      </c>
      <c r="L99" s="73">
        <f t="shared" si="117"/>
        <v>0</v>
      </c>
      <c r="M99" s="73">
        <f t="shared" si="117"/>
        <v>0</v>
      </c>
      <c r="N99" s="73">
        <f t="shared" si="68"/>
        <v>0</v>
      </c>
      <c r="O99" s="73">
        <f t="shared" ref="O99:S99" si="118">SUM(O100)</f>
        <v>0</v>
      </c>
      <c r="P99" s="73">
        <f t="shared" si="118"/>
        <v>0</v>
      </c>
      <c r="Q99" s="73">
        <f t="shared" si="118"/>
        <v>0</v>
      </c>
      <c r="R99" s="73">
        <f t="shared" si="118"/>
        <v>0</v>
      </c>
      <c r="S99" s="73">
        <f t="shared" si="118"/>
        <v>0</v>
      </c>
      <c r="T99" s="73">
        <f t="shared" si="70"/>
        <v>93.07</v>
      </c>
      <c r="U99" s="73">
        <f t="shared" ref="U99:AA99" si="119">SUM(U100)</f>
        <v>0</v>
      </c>
      <c r="V99" s="73">
        <f t="shared" si="119"/>
        <v>93.07</v>
      </c>
      <c r="W99" s="73">
        <f t="shared" si="119"/>
        <v>0</v>
      </c>
      <c r="X99" s="73">
        <f t="shared" si="119"/>
        <v>0</v>
      </c>
      <c r="Y99" s="73">
        <f t="shared" si="119"/>
        <v>0</v>
      </c>
      <c r="Z99" s="73">
        <f t="shared" si="119"/>
        <v>0</v>
      </c>
      <c r="AA99" s="80">
        <f t="shared" si="119"/>
        <v>0</v>
      </c>
      <c r="AB99" s="73"/>
    </row>
    <row r="100" ht="26.25" customHeight="1" spans="1:28">
      <c r="A100" s="67">
        <f>100-6</f>
        <v>94</v>
      </c>
      <c r="B100" s="68"/>
      <c r="C100" s="68"/>
      <c r="D100" s="68"/>
      <c r="E100" s="68"/>
      <c r="F100" s="68"/>
      <c r="G100" s="68"/>
      <c r="H100" s="68" t="s">
        <v>321</v>
      </c>
      <c r="I100" s="73">
        <f t="shared" si="66"/>
        <v>93.07</v>
      </c>
      <c r="J100" s="73"/>
      <c r="K100" s="73">
        <v>93.07</v>
      </c>
      <c r="L100" s="73"/>
      <c r="M100" s="73"/>
      <c r="N100" s="73">
        <f t="shared" si="68"/>
        <v>0</v>
      </c>
      <c r="O100" s="73"/>
      <c r="P100" s="73"/>
      <c r="Q100" s="73"/>
      <c r="R100" s="73"/>
      <c r="S100" s="73"/>
      <c r="T100" s="73">
        <f t="shared" si="70"/>
        <v>93.07</v>
      </c>
      <c r="U100" s="73"/>
      <c r="V100" s="73">
        <v>93.07</v>
      </c>
      <c r="W100" s="73"/>
      <c r="X100" s="73"/>
      <c r="Y100" s="73"/>
      <c r="Z100" s="73"/>
      <c r="AA100" s="80"/>
      <c r="AB100" s="73"/>
    </row>
    <row r="101" ht="26.25" customHeight="1" spans="1:28">
      <c r="A101" s="67">
        <f>101-6</f>
        <v>95</v>
      </c>
      <c r="B101" s="68"/>
      <c r="C101" s="68"/>
      <c r="D101" s="68" t="s">
        <v>322</v>
      </c>
      <c r="E101" s="68"/>
      <c r="F101" s="68"/>
      <c r="G101" s="68"/>
      <c r="H101" s="68"/>
      <c r="I101" s="73">
        <f t="shared" si="66"/>
        <v>142</v>
      </c>
      <c r="J101" s="73">
        <f t="shared" ref="J101:M101" si="120">SUM(J102)</f>
        <v>0</v>
      </c>
      <c r="K101" s="73">
        <f t="shared" si="120"/>
        <v>142</v>
      </c>
      <c r="L101" s="73">
        <f t="shared" si="120"/>
        <v>0</v>
      </c>
      <c r="M101" s="73">
        <f t="shared" si="120"/>
        <v>0</v>
      </c>
      <c r="N101" s="73">
        <f t="shared" si="68"/>
        <v>142</v>
      </c>
      <c r="O101" s="73">
        <f t="shared" ref="O101:S101" si="121">SUM(O102)</f>
        <v>142</v>
      </c>
      <c r="P101" s="73">
        <f t="shared" si="121"/>
        <v>0</v>
      </c>
      <c r="Q101" s="73">
        <f t="shared" si="121"/>
        <v>0</v>
      </c>
      <c r="R101" s="73">
        <f t="shared" si="121"/>
        <v>0</v>
      </c>
      <c r="S101" s="73">
        <f t="shared" si="121"/>
        <v>0</v>
      </c>
      <c r="T101" s="73">
        <f t="shared" si="70"/>
        <v>0</v>
      </c>
      <c r="U101" s="73">
        <f t="shared" ref="U101:AA101" si="122">SUM(U102)</f>
        <v>0</v>
      </c>
      <c r="V101" s="73">
        <f t="shared" si="122"/>
        <v>0</v>
      </c>
      <c r="W101" s="73">
        <f t="shared" si="122"/>
        <v>0</v>
      </c>
      <c r="X101" s="73">
        <f t="shared" si="122"/>
        <v>0</v>
      </c>
      <c r="Y101" s="73">
        <f t="shared" si="122"/>
        <v>0</v>
      </c>
      <c r="Z101" s="73">
        <f t="shared" si="122"/>
        <v>0</v>
      </c>
      <c r="AA101" s="80">
        <f t="shared" si="122"/>
        <v>0</v>
      </c>
      <c r="AB101" s="73"/>
    </row>
    <row r="102" ht="26.25" customHeight="1" spans="1:28">
      <c r="A102" s="67">
        <f>102-6</f>
        <v>96</v>
      </c>
      <c r="B102" s="68"/>
      <c r="C102" s="68"/>
      <c r="D102" s="68"/>
      <c r="E102" s="68" t="s">
        <v>68</v>
      </c>
      <c r="F102" s="68"/>
      <c r="G102" s="68"/>
      <c r="H102" s="68"/>
      <c r="I102" s="73">
        <f t="shared" si="66"/>
        <v>142</v>
      </c>
      <c r="J102" s="73">
        <f t="shared" ref="J102:M102" si="123">SUM(J103)</f>
        <v>0</v>
      </c>
      <c r="K102" s="73">
        <f t="shared" si="123"/>
        <v>142</v>
      </c>
      <c r="L102" s="73">
        <f t="shared" si="123"/>
        <v>0</v>
      </c>
      <c r="M102" s="73">
        <f t="shared" si="123"/>
        <v>0</v>
      </c>
      <c r="N102" s="73">
        <f t="shared" si="68"/>
        <v>142</v>
      </c>
      <c r="O102" s="73">
        <f t="shared" ref="O102:S102" si="124">SUM(O103)</f>
        <v>142</v>
      </c>
      <c r="P102" s="73">
        <f t="shared" si="124"/>
        <v>0</v>
      </c>
      <c r="Q102" s="73">
        <f t="shared" si="124"/>
        <v>0</v>
      </c>
      <c r="R102" s="73">
        <f t="shared" si="124"/>
        <v>0</v>
      </c>
      <c r="S102" s="73">
        <f t="shared" si="124"/>
        <v>0</v>
      </c>
      <c r="T102" s="73">
        <f t="shared" si="70"/>
        <v>0</v>
      </c>
      <c r="U102" s="73">
        <f t="shared" ref="U102:AA102" si="125">SUM(U103)</f>
        <v>0</v>
      </c>
      <c r="V102" s="73">
        <f t="shared" si="125"/>
        <v>0</v>
      </c>
      <c r="W102" s="73">
        <f t="shared" si="125"/>
        <v>0</v>
      </c>
      <c r="X102" s="73">
        <f t="shared" si="125"/>
        <v>0</v>
      </c>
      <c r="Y102" s="73">
        <f t="shared" si="125"/>
        <v>0</v>
      </c>
      <c r="Z102" s="73">
        <f t="shared" si="125"/>
        <v>0</v>
      </c>
      <c r="AA102" s="80">
        <f t="shared" si="125"/>
        <v>0</v>
      </c>
      <c r="AB102" s="73"/>
    </row>
    <row r="103" ht="26.25" customHeight="1" spans="1:28">
      <c r="A103" s="67">
        <f>103-6</f>
        <v>97</v>
      </c>
      <c r="B103" s="68"/>
      <c r="C103" s="68"/>
      <c r="D103" s="68"/>
      <c r="E103" s="68"/>
      <c r="F103" s="68" t="s">
        <v>287</v>
      </c>
      <c r="G103" s="68"/>
      <c r="H103" s="68"/>
      <c r="I103" s="73">
        <f t="shared" si="66"/>
        <v>142</v>
      </c>
      <c r="J103" s="73">
        <f t="shared" ref="J103:M103" si="126">SUM(J104)</f>
        <v>0</v>
      </c>
      <c r="K103" s="73">
        <f t="shared" si="126"/>
        <v>142</v>
      </c>
      <c r="L103" s="73">
        <f t="shared" si="126"/>
        <v>0</v>
      </c>
      <c r="M103" s="73">
        <f t="shared" si="126"/>
        <v>0</v>
      </c>
      <c r="N103" s="73">
        <f t="shared" si="68"/>
        <v>142</v>
      </c>
      <c r="O103" s="73">
        <f t="shared" ref="O103:S103" si="127">SUM(O104)</f>
        <v>142</v>
      </c>
      <c r="P103" s="73">
        <f t="shared" si="127"/>
        <v>0</v>
      </c>
      <c r="Q103" s="73">
        <f t="shared" si="127"/>
        <v>0</v>
      </c>
      <c r="R103" s="73">
        <f t="shared" si="127"/>
        <v>0</v>
      </c>
      <c r="S103" s="73">
        <f t="shared" si="127"/>
        <v>0</v>
      </c>
      <c r="T103" s="73">
        <f t="shared" si="70"/>
        <v>0</v>
      </c>
      <c r="U103" s="73">
        <f t="shared" ref="U103:AA103" si="128">SUM(U104)</f>
        <v>0</v>
      </c>
      <c r="V103" s="73">
        <f t="shared" si="128"/>
        <v>0</v>
      </c>
      <c r="W103" s="73">
        <f t="shared" si="128"/>
        <v>0</v>
      </c>
      <c r="X103" s="73">
        <f t="shared" si="128"/>
        <v>0</v>
      </c>
      <c r="Y103" s="73">
        <f t="shared" si="128"/>
        <v>0</v>
      </c>
      <c r="Z103" s="73">
        <f t="shared" si="128"/>
        <v>0</v>
      </c>
      <c r="AA103" s="80">
        <f t="shared" si="128"/>
        <v>0</v>
      </c>
      <c r="AB103" s="81" t="s">
        <v>245</v>
      </c>
    </row>
    <row r="104" ht="26.25" customHeight="1" spans="1:28">
      <c r="A104" s="67">
        <f>104-6</f>
        <v>98</v>
      </c>
      <c r="B104" s="68"/>
      <c r="C104" s="68"/>
      <c r="D104" s="68"/>
      <c r="E104" s="68"/>
      <c r="F104" s="68"/>
      <c r="G104" s="68" t="s">
        <v>323</v>
      </c>
      <c r="H104" s="68"/>
      <c r="I104" s="73">
        <f t="shared" si="66"/>
        <v>142</v>
      </c>
      <c r="J104" s="73">
        <f t="shared" ref="J104:M104" si="129">SUM(J105:J107)</f>
        <v>0</v>
      </c>
      <c r="K104" s="73">
        <f t="shared" si="129"/>
        <v>142</v>
      </c>
      <c r="L104" s="73">
        <f t="shared" si="129"/>
        <v>0</v>
      </c>
      <c r="M104" s="73">
        <f t="shared" si="129"/>
        <v>0</v>
      </c>
      <c r="N104" s="73">
        <f t="shared" si="68"/>
        <v>142</v>
      </c>
      <c r="O104" s="73">
        <f t="shared" ref="O104:S104" si="130">SUM(O105:O107)</f>
        <v>142</v>
      </c>
      <c r="P104" s="73">
        <f t="shared" si="130"/>
        <v>0</v>
      </c>
      <c r="Q104" s="73">
        <f t="shared" si="130"/>
        <v>0</v>
      </c>
      <c r="R104" s="73">
        <f t="shared" si="130"/>
        <v>0</v>
      </c>
      <c r="S104" s="73">
        <f t="shared" si="130"/>
        <v>0</v>
      </c>
      <c r="T104" s="73">
        <f t="shared" si="70"/>
        <v>0</v>
      </c>
      <c r="U104" s="73">
        <f t="shared" ref="U104:AA104" si="131">SUM(U105:U107)</f>
        <v>0</v>
      </c>
      <c r="V104" s="73">
        <f t="shared" si="131"/>
        <v>0</v>
      </c>
      <c r="W104" s="73">
        <f t="shared" si="131"/>
        <v>0</v>
      </c>
      <c r="X104" s="73">
        <f t="shared" si="131"/>
        <v>0</v>
      </c>
      <c r="Y104" s="73">
        <f t="shared" si="131"/>
        <v>0</v>
      </c>
      <c r="Z104" s="73">
        <f t="shared" si="131"/>
        <v>0</v>
      </c>
      <c r="AA104" s="80">
        <f t="shared" si="131"/>
        <v>0</v>
      </c>
      <c r="AB104" s="73"/>
    </row>
    <row r="105" ht="26.25" customHeight="1" spans="1:28">
      <c r="A105" s="67">
        <f>105-6</f>
        <v>99</v>
      </c>
      <c r="B105" s="68"/>
      <c r="C105" s="68"/>
      <c r="D105" s="68"/>
      <c r="E105" s="68"/>
      <c r="F105" s="68"/>
      <c r="G105" s="68"/>
      <c r="H105" s="68" t="s">
        <v>324</v>
      </c>
      <c r="I105" s="73">
        <f t="shared" si="66"/>
        <v>15</v>
      </c>
      <c r="J105" s="73"/>
      <c r="K105" s="73">
        <v>15</v>
      </c>
      <c r="L105" s="73"/>
      <c r="M105" s="73"/>
      <c r="N105" s="73">
        <f t="shared" si="68"/>
        <v>15</v>
      </c>
      <c r="O105" s="73">
        <v>15</v>
      </c>
      <c r="P105" s="73"/>
      <c r="Q105" s="73"/>
      <c r="R105" s="73"/>
      <c r="S105" s="73"/>
      <c r="T105" s="73">
        <f t="shared" si="70"/>
        <v>0</v>
      </c>
      <c r="U105" s="73"/>
      <c r="V105" s="73"/>
      <c r="W105" s="73"/>
      <c r="X105" s="73"/>
      <c r="Y105" s="73"/>
      <c r="Z105" s="73"/>
      <c r="AA105" s="80"/>
      <c r="AB105" s="73"/>
    </row>
    <row r="106" ht="26.25" customHeight="1" spans="1:28">
      <c r="A106" s="67">
        <f>106-6</f>
        <v>100</v>
      </c>
      <c r="B106" s="68"/>
      <c r="C106" s="68"/>
      <c r="D106" s="68"/>
      <c r="E106" s="68"/>
      <c r="F106" s="68"/>
      <c r="G106" s="68"/>
      <c r="H106" s="68" t="s">
        <v>325</v>
      </c>
      <c r="I106" s="73">
        <f t="shared" si="66"/>
        <v>8</v>
      </c>
      <c r="J106" s="73"/>
      <c r="K106" s="73">
        <v>8</v>
      </c>
      <c r="L106" s="73"/>
      <c r="M106" s="73"/>
      <c r="N106" s="73">
        <f t="shared" si="68"/>
        <v>8</v>
      </c>
      <c r="O106" s="73">
        <v>8</v>
      </c>
      <c r="P106" s="73"/>
      <c r="Q106" s="73"/>
      <c r="R106" s="73"/>
      <c r="S106" s="73"/>
      <c r="T106" s="73">
        <f t="shared" si="70"/>
        <v>0</v>
      </c>
      <c r="U106" s="73"/>
      <c r="V106" s="73"/>
      <c r="W106" s="73"/>
      <c r="X106" s="73"/>
      <c r="Y106" s="73"/>
      <c r="Z106" s="73"/>
      <c r="AA106" s="80"/>
      <c r="AB106" s="73"/>
    </row>
    <row r="107" ht="26.25" customHeight="1" spans="1:28">
      <c r="A107" s="67">
        <f>107-6</f>
        <v>101</v>
      </c>
      <c r="B107" s="68"/>
      <c r="C107" s="68"/>
      <c r="D107" s="68"/>
      <c r="E107" s="68"/>
      <c r="F107" s="68"/>
      <c r="G107" s="68"/>
      <c r="H107" s="68" t="s">
        <v>326</v>
      </c>
      <c r="I107" s="73">
        <f t="shared" si="66"/>
        <v>119</v>
      </c>
      <c r="J107" s="73"/>
      <c r="K107" s="73">
        <v>119</v>
      </c>
      <c r="L107" s="73"/>
      <c r="M107" s="73"/>
      <c r="N107" s="73">
        <f t="shared" si="68"/>
        <v>119</v>
      </c>
      <c r="O107" s="73">
        <v>119</v>
      </c>
      <c r="P107" s="73"/>
      <c r="Q107" s="73"/>
      <c r="R107" s="73"/>
      <c r="S107" s="73"/>
      <c r="T107" s="73">
        <f t="shared" si="70"/>
        <v>0</v>
      </c>
      <c r="U107" s="73"/>
      <c r="V107" s="73"/>
      <c r="W107" s="73"/>
      <c r="X107" s="73"/>
      <c r="Y107" s="73"/>
      <c r="Z107" s="73"/>
      <c r="AA107" s="80"/>
      <c r="AB107" s="73"/>
    </row>
    <row r="108" ht="26.25" customHeight="1" spans="1:28">
      <c r="A108" s="67">
        <f>108-6</f>
        <v>102</v>
      </c>
      <c r="B108" s="68"/>
      <c r="C108" s="68" t="s">
        <v>136</v>
      </c>
      <c r="D108" s="68"/>
      <c r="E108" s="68"/>
      <c r="F108" s="68"/>
      <c r="G108" s="68"/>
      <c r="H108" s="68"/>
      <c r="I108" s="73">
        <f t="shared" si="66"/>
        <v>198.53</v>
      </c>
      <c r="J108" s="73">
        <f t="shared" ref="J108:M108" si="132">SUM(J109,J119)</f>
        <v>0</v>
      </c>
      <c r="K108" s="73">
        <f t="shared" si="132"/>
        <v>198.53</v>
      </c>
      <c r="L108" s="73">
        <f t="shared" si="132"/>
        <v>0</v>
      </c>
      <c r="M108" s="73">
        <f t="shared" si="132"/>
        <v>0</v>
      </c>
      <c r="N108" s="73">
        <f t="shared" si="68"/>
        <v>198.53</v>
      </c>
      <c r="O108" s="73">
        <f t="shared" ref="O108:S108" si="133">SUM(O109,O119)</f>
        <v>198.53</v>
      </c>
      <c r="P108" s="73">
        <f t="shared" si="133"/>
        <v>0</v>
      </c>
      <c r="Q108" s="73">
        <f t="shared" si="133"/>
        <v>0</v>
      </c>
      <c r="R108" s="73">
        <f t="shared" si="133"/>
        <v>0</v>
      </c>
      <c r="S108" s="73">
        <f t="shared" si="133"/>
        <v>0</v>
      </c>
      <c r="T108" s="73">
        <f t="shared" si="70"/>
        <v>0</v>
      </c>
      <c r="U108" s="73">
        <f t="shared" ref="U108:AA108" si="134">SUM(U109,U119)</f>
        <v>0</v>
      </c>
      <c r="V108" s="73">
        <f t="shared" si="134"/>
        <v>0</v>
      </c>
      <c r="W108" s="73">
        <f t="shared" si="134"/>
        <v>0</v>
      </c>
      <c r="X108" s="73">
        <f t="shared" si="134"/>
        <v>0</v>
      </c>
      <c r="Y108" s="73">
        <f t="shared" si="134"/>
        <v>0</v>
      </c>
      <c r="Z108" s="73">
        <f t="shared" si="134"/>
        <v>0</v>
      </c>
      <c r="AA108" s="80">
        <f t="shared" si="134"/>
        <v>0</v>
      </c>
      <c r="AB108" s="73"/>
    </row>
    <row r="109" ht="26.25" customHeight="1" spans="1:28">
      <c r="A109" s="67">
        <f>109-6</f>
        <v>103</v>
      </c>
      <c r="B109" s="68"/>
      <c r="C109" s="68"/>
      <c r="D109" s="68" t="s">
        <v>327</v>
      </c>
      <c r="E109" s="68"/>
      <c r="F109" s="68"/>
      <c r="G109" s="68"/>
      <c r="H109" s="68"/>
      <c r="I109" s="73">
        <f t="shared" si="66"/>
        <v>148</v>
      </c>
      <c r="J109" s="73">
        <f t="shared" ref="J109:M109" si="135">SUM(J110)</f>
        <v>0</v>
      </c>
      <c r="K109" s="73">
        <f t="shared" si="135"/>
        <v>148</v>
      </c>
      <c r="L109" s="73">
        <f t="shared" si="135"/>
        <v>0</v>
      </c>
      <c r="M109" s="73">
        <f t="shared" si="135"/>
        <v>0</v>
      </c>
      <c r="N109" s="73">
        <f t="shared" si="68"/>
        <v>148</v>
      </c>
      <c r="O109" s="73">
        <f t="shared" ref="O109:S109" si="136">SUM(O110)</f>
        <v>148</v>
      </c>
      <c r="P109" s="73">
        <f t="shared" si="136"/>
        <v>0</v>
      </c>
      <c r="Q109" s="73">
        <f t="shared" si="136"/>
        <v>0</v>
      </c>
      <c r="R109" s="73">
        <f t="shared" si="136"/>
        <v>0</v>
      </c>
      <c r="S109" s="73">
        <f t="shared" si="136"/>
        <v>0</v>
      </c>
      <c r="T109" s="73">
        <f t="shared" si="70"/>
        <v>0</v>
      </c>
      <c r="U109" s="73">
        <f t="shared" ref="U109:AA109" si="137">SUM(U110)</f>
        <v>0</v>
      </c>
      <c r="V109" s="73">
        <f t="shared" si="137"/>
        <v>0</v>
      </c>
      <c r="W109" s="73">
        <f t="shared" si="137"/>
        <v>0</v>
      </c>
      <c r="X109" s="73">
        <f t="shared" si="137"/>
        <v>0</v>
      </c>
      <c r="Y109" s="73">
        <f t="shared" si="137"/>
        <v>0</v>
      </c>
      <c r="Z109" s="73">
        <f t="shared" si="137"/>
        <v>0</v>
      </c>
      <c r="AA109" s="80">
        <f t="shared" si="137"/>
        <v>0</v>
      </c>
      <c r="AB109" s="73"/>
    </row>
    <row r="110" ht="26.25" customHeight="1" spans="1:28">
      <c r="A110" s="67">
        <f>110-6</f>
        <v>104</v>
      </c>
      <c r="B110" s="68"/>
      <c r="C110" s="68"/>
      <c r="D110" s="68"/>
      <c r="E110" s="68" t="s">
        <v>69</v>
      </c>
      <c r="F110" s="68"/>
      <c r="G110" s="68"/>
      <c r="H110" s="68"/>
      <c r="I110" s="73">
        <f t="shared" si="66"/>
        <v>148</v>
      </c>
      <c r="J110" s="73">
        <f t="shared" ref="J110:M110" si="138">SUM(J111)</f>
        <v>0</v>
      </c>
      <c r="K110" s="73">
        <f t="shared" si="138"/>
        <v>148</v>
      </c>
      <c r="L110" s="73">
        <f t="shared" si="138"/>
        <v>0</v>
      </c>
      <c r="M110" s="73">
        <f t="shared" si="138"/>
        <v>0</v>
      </c>
      <c r="N110" s="73">
        <f t="shared" si="68"/>
        <v>148</v>
      </c>
      <c r="O110" s="73">
        <f t="shared" ref="O110:S110" si="139">SUM(O111)</f>
        <v>148</v>
      </c>
      <c r="P110" s="73">
        <f t="shared" si="139"/>
        <v>0</v>
      </c>
      <c r="Q110" s="73">
        <f t="shared" si="139"/>
        <v>0</v>
      </c>
      <c r="R110" s="73">
        <f t="shared" si="139"/>
        <v>0</v>
      </c>
      <c r="S110" s="73">
        <f t="shared" si="139"/>
        <v>0</v>
      </c>
      <c r="T110" s="73">
        <f t="shared" si="70"/>
        <v>0</v>
      </c>
      <c r="U110" s="73">
        <f t="shared" ref="U110:AA110" si="140">SUM(U111)</f>
        <v>0</v>
      </c>
      <c r="V110" s="73">
        <f t="shared" si="140"/>
        <v>0</v>
      </c>
      <c r="W110" s="73">
        <f t="shared" si="140"/>
        <v>0</v>
      </c>
      <c r="X110" s="73">
        <f t="shared" si="140"/>
        <v>0</v>
      </c>
      <c r="Y110" s="73">
        <f t="shared" si="140"/>
        <v>0</v>
      </c>
      <c r="Z110" s="73">
        <f t="shared" si="140"/>
        <v>0</v>
      </c>
      <c r="AA110" s="80">
        <f t="shared" si="140"/>
        <v>0</v>
      </c>
      <c r="AB110" s="73"/>
    </row>
    <row r="111" ht="26.25" customHeight="1" spans="1:28">
      <c r="A111" s="67">
        <f>111-6</f>
        <v>105</v>
      </c>
      <c r="B111" s="68"/>
      <c r="C111" s="68"/>
      <c r="D111" s="68"/>
      <c r="E111" s="68"/>
      <c r="F111" s="68" t="s">
        <v>328</v>
      </c>
      <c r="G111" s="68"/>
      <c r="H111" s="68"/>
      <c r="I111" s="73">
        <f t="shared" si="66"/>
        <v>148</v>
      </c>
      <c r="J111" s="73">
        <f t="shared" ref="J111:M111" si="141">SUM(J112)</f>
        <v>0</v>
      </c>
      <c r="K111" s="73">
        <f t="shared" si="141"/>
        <v>148</v>
      </c>
      <c r="L111" s="73">
        <f t="shared" si="141"/>
        <v>0</v>
      </c>
      <c r="M111" s="73">
        <f t="shared" si="141"/>
        <v>0</v>
      </c>
      <c r="N111" s="73">
        <f t="shared" si="68"/>
        <v>148</v>
      </c>
      <c r="O111" s="73">
        <f t="shared" ref="O111:S111" si="142">SUM(O112)</f>
        <v>148</v>
      </c>
      <c r="P111" s="73">
        <f t="shared" si="142"/>
        <v>0</v>
      </c>
      <c r="Q111" s="73">
        <f t="shared" si="142"/>
        <v>0</v>
      </c>
      <c r="R111" s="73">
        <f t="shared" si="142"/>
        <v>0</v>
      </c>
      <c r="S111" s="73">
        <f t="shared" si="142"/>
        <v>0</v>
      </c>
      <c r="T111" s="73">
        <f t="shared" si="70"/>
        <v>0</v>
      </c>
      <c r="U111" s="73">
        <f t="shared" ref="U111:AA111" si="143">SUM(U112)</f>
        <v>0</v>
      </c>
      <c r="V111" s="73">
        <f t="shared" si="143"/>
        <v>0</v>
      </c>
      <c r="W111" s="73">
        <f t="shared" si="143"/>
        <v>0</v>
      </c>
      <c r="X111" s="73">
        <f t="shared" si="143"/>
        <v>0</v>
      </c>
      <c r="Y111" s="73">
        <f t="shared" si="143"/>
        <v>0</v>
      </c>
      <c r="Z111" s="73">
        <f t="shared" si="143"/>
        <v>0</v>
      </c>
      <c r="AA111" s="80">
        <f t="shared" si="143"/>
        <v>0</v>
      </c>
      <c r="AB111" s="81" t="s">
        <v>245</v>
      </c>
    </row>
    <row r="112" ht="26.25" customHeight="1" spans="1:28">
      <c r="A112" s="67">
        <f>112-6</f>
        <v>106</v>
      </c>
      <c r="B112" s="68"/>
      <c r="C112" s="68"/>
      <c r="D112" s="68"/>
      <c r="E112" s="68"/>
      <c r="F112" s="68"/>
      <c r="G112" s="68" t="s">
        <v>329</v>
      </c>
      <c r="H112" s="68"/>
      <c r="I112" s="73">
        <f t="shared" si="66"/>
        <v>148</v>
      </c>
      <c r="J112" s="73">
        <f t="shared" ref="J112:M112" si="144">SUM(J113:J118)</f>
        <v>0</v>
      </c>
      <c r="K112" s="73">
        <f t="shared" si="144"/>
        <v>148</v>
      </c>
      <c r="L112" s="73">
        <f t="shared" si="144"/>
        <v>0</v>
      </c>
      <c r="M112" s="73">
        <f t="shared" si="144"/>
        <v>0</v>
      </c>
      <c r="N112" s="73">
        <f t="shared" si="68"/>
        <v>148</v>
      </c>
      <c r="O112" s="73">
        <f t="shared" ref="O112:S112" si="145">SUM(O113:O118)</f>
        <v>148</v>
      </c>
      <c r="P112" s="73">
        <f t="shared" si="145"/>
        <v>0</v>
      </c>
      <c r="Q112" s="73">
        <f t="shared" si="145"/>
        <v>0</v>
      </c>
      <c r="R112" s="73">
        <f t="shared" si="145"/>
        <v>0</v>
      </c>
      <c r="S112" s="73">
        <f t="shared" si="145"/>
        <v>0</v>
      </c>
      <c r="T112" s="73">
        <f t="shared" si="70"/>
        <v>0</v>
      </c>
      <c r="U112" s="73">
        <f t="shared" ref="U112:AA112" si="146">SUM(U113:U118)</f>
        <v>0</v>
      </c>
      <c r="V112" s="73">
        <f t="shared" si="146"/>
        <v>0</v>
      </c>
      <c r="W112" s="73">
        <f t="shared" si="146"/>
        <v>0</v>
      </c>
      <c r="X112" s="73">
        <f t="shared" si="146"/>
        <v>0</v>
      </c>
      <c r="Y112" s="73">
        <f t="shared" si="146"/>
        <v>0</v>
      </c>
      <c r="Z112" s="73">
        <f t="shared" si="146"/>
        <v>0</v>
      </c>
      <c r="AA112" s="80">
        <f t="shared" si="146"/>
        <v>0</v>
      </c>
      <c r="AB112" s="73"/>
    </row>
    <row r="113" ht="26.25" customHeight="1" spans="1:28">
      <c r="A113" s="67">
        <f>113-6</f>
        <v>107</v>
      </c>
      <c r="B113" s="68"/>
      <c r="C113" s="68"/>
      <c r="D113" s="68"/>
      <c r="E113" s="68"/>
      <c r="F113" s="68"/>
      <c r="G113" s="68"/>
      <c r="H113" s="68" t="s">
        <v>330</v>
      </c>
      <c r="I113" s="73">
        <f t="shared" si="66"/>
        <v>4</v>
      </c>
      <c r="J113" s="73"/>
      <c r="K113" s="73">
        <v>4</v>
      </c>
      <c r="L113" s="73"/>
      <c r="M113" s="73"/>
      <c r="N113" s="73">
        <f t="shared" si="68"/>
        <v>4</v>
      </c>
      <c r="O113" s="73">
        <v>4</v>
      </c>
      <c r="P113" s="73"/>
      <c r="Q113" s="73"/>
      <c r="R113" s="73"/>
      <c r="S113" s="73"/>
      <c r="T113" s="73">
        <f t="shared" si="70"/>
        <v>0</v>
      </c>
      <c r="U113" s="73"/>
      <c r="V113" s="73"/>
      <c r="W113" s="73"/>
      <c r="X113" s="73"/>
      <c r="Y113" s="73"/>
      <c r="Z113" s="73"/>
      <c r="AA113" s="80"/>
      <c r="AB113" s="73"/>
    </row>
    <row r="114" ht="26.25" customHeight="1" spans="1:28">
      <c r="A114" s="67">
        <f>114-6</f>
        <v>108</v>
      </c>
      <c r="B114" s="68"/>
      <c r="C114" s="68"/>
      <c r="D114" s="68"/>
      <c r="E114" s="68"/>
      <c r="F114" s="68"/>
      <c r="G114" s="68"/>
      <c r="H114" s="68" t="s">
        <v>331</v>
      </c>
      <c r="I114" s="73">
        <f t="shared" si="66"/>
        <v>4</v>
      </c>
      <c r="J114" s="73"/>
      <c r="K114" s="73">
        <v>4</v>
      </c>
      <c r="L114" s="73"/>
      <c r="M114" s="73"/>
      <c r="N114" s="73">
        <f t="shared" si="68"/>
        <v>4</v>
      </c>
      <c r="O114" s="73">
        <v>4</v>
      </c>
      <c r="P114" s="73"/>
      <c r="Q114" s="73"/>
      <c r="R114" s="73"/>
      <c r="S114" s="73"/>
      <c r="T114" s="73">
        <f t="shared" si="70"/>
        <v>0</v>
      </c>
      <c r="U114" s="73"/>
      <c r="V114" s="73"/>
      <c r="W114" s="73"/>
      <c r="X114" s="73"/>
      <c r="Y114" s="73"/>
      <c r="Z114" s="73"/>
      <c r="AA114" s="80"/>
      <c r="AB114" s="73"/>
    </row>
    <row r="115" ht="26.25" customHeight="1" spans="1:28">
      <c r="A115" s="67">
        <f>115-6</f>
        <v>109</v>
      </c>
      <c r="B115" s="68"/>
      <c r="C115" s="68"/>
      <c r="D115" s="68"/>
      <c r="E115" s="68"/>
      <c r="F115" s="68"/>
      <c r="G115" s="68"/>
      <c r="H115" s="68" t="s">
        <v>332</v>
      </c>
      <c r="I115" s="73">
        <f t="shared" si="66"/>
        <v>25</v>
      </c>
      <c r="J115" s="73"/>
      <c r="K115" s="73">
        <v>25</v>
      </c>
      <c r="L115" s="73"/>
      <c r="M115" s="73"/>
      <c r="N115" s="73">
        <f t="shared" si="68"/>
        <v>25</v>
      </c>
      <c r="O115" s="73">
        <v>25</v>
      </c>
      <c r="P115" s="73"/>
      <c r="Q115" s="73"/>
      <c r="R115" s="73"/>
      <c r="S115" s="73"/>
      <c r="T115" s="73">
        <f t="shared" si="70"/>
        <v>0</v>
      </c>
      <c r="U115" s="73"/>
      <c r="V115" s="73"/>
      <c r="W115" s="73"/>
      <c r="X115" s="73"/>
      <c r="Y115" s="73"/>
      <c r="Z115" s="73"/>
      <c r="AA115" s="80"/>
      <c r="AB115" s="73"/>
    </row>
    <row r="116" ht="26.25" customHeight="1" spans="1:28">
      <c r="A116" s="67">
        <f>116-6</f>
        <v>110</v>
      </c>
      <c r="B116" s="68"/>
      <c r="C116" s="68"/>
      <c r="D116" s="68"/>
      <c r="E116" s="68"/>
      <c r="F116" s="68"/>
      <c r="G116" s="68"/>
      <c r="H116" s="68" t="s">
        <v>333</v>
      </c>
      <c r="I116" s="73">
        <f t="shared" si="66"/>
        <v>36</v>
      </c>
      <c r="J116" s="73"/>
      <c r="K116" s="73">
        <v>36</v>
      </c>
      <c r="L116" s="73"/>
      <c r="M116" s="73"/>
      <c r="N116" s="73">
        <f t="shared" si="68"/>
        <v>36</v>
      </c>
      <c r="O116" s="73">
        <v>36</v>
      </c>
      <c r="P116" s="73"/>
      <c r="Q116" s="73"/>
      <c r="R116" s="73"/>
      <c r="S116" s="73"/>
      <c r="T116" s="73">
        <f t="shared" si="70"/>
        <v>0</v>
      </c>
      <c r="U116" s="73"/>
      <c r="V116" s="73"/>
      <c r="W116" s="73"/>
      <c r="X116" s="73"/>
      <c r="Y116" s="73"/>
      <c r="Z116" s="73"/>
      <c r="AA116" s="80"/>
      <c r="AB116" s="73"/>
    </row>
    <row r="117" ht="26.25" customHeight="1" spans="1:28">
      <c r="A117" s="67">
        <f>117-6</f>
        <v>111</v>
      </c>
      <c r="B117" s="68"/>
      <c r="C117" s="68"/>
      <c r="D117" s="68"/>
      <c r="E117" s="68"/>
      <c r="F117" s="68"/>
      <c r="G117" s="68"/>
      <c r="H117" s="68" t="s">
        <v>334</v>
      </c>
      <c r="I117" s="73">
        <f t="shared" si="66"/>
        <v>66.95</v>
      </c>
      <c r="J117" s="73"/>
      <c r="K117" s="73">
        <v>66.95</v>
      </c>
      <c r="L117" s="73"/>
      <c r="M117" s="73"/>
      <c r="N117" s="73">
        <f t="shared" si="68"/>
        <v>66.95</v>
      </c>
      <c r="O117" s="73">
        <v>66.95</v>
      </c>
      <c r="P117" s="73"/>
      <c r="Q117" s="73"/>
      <c r="R117" s="73"/>
      <c r="S117" s="73"/>
      <c r="T117" s="73">
        <f t="shared" si="70"/>
        <v>0</v>
      </c>
      <c r="U117" s="73"/>
      <c r="V117" s="73"/>
      <c r="W117" s="73"/>
      <c r="X117" s="73"/>
      <c r="Y117" s="73"/>
      <c r="Z117" s="73"/>
      <c r="AA117" s="80"/>
      <c r="AB117" s="73"/>
    </row>
    <row r="118" ht="26.25" customHeight="1" spans="1:28">
      <c r="A118" s="67">
        <f>118-6</f>
        <v>112</v>
      </c>
      <c r="B118" s="68"/>
      <c r="C118" s="68"/>
      <c r="D118" s="68"/>
      <c r="E118" s="68"/>
      <c r="F118" s="68"/>
      <c r="G118" s="68"/>
      <c r="H118" s="68" t="s">
        <v>335</v>
      </c>
      <c r="I118" s="73">
        <f t="shared" si="66"/>
        <v>12.05</v>
      </c>
      <c r="J118" s="73"/>
      <c r="K118" s="73">
        <v>12.05</v>
      </c>
      <c r="L118" s="73"/>
      <c r="M118" s="73"/>
      <c r="N118" s="73">
        <f t="shared" si="68"/>
        <v>12.05</v>
      </c>
      <c r="O118" s="73">
        <v>12.05</v>
      </c>
      <c r="P118" s="73"/>
      <c r="Q118" s="73"/>
      <c r="R118" s="73"/>
      <c r="S118" s="73"/>
      <c r="T118" s="73">
        <f t="shared" si="70"/>
        <v>0</v>
      </c>
      <c r="U118" s="73"/>
      <c r="V118" s="73"/>
      <c r="W118" s="73"/>
      <c r="X118" s="73"/>
      <c r="Y118" s="73"/>
      <c r="Z118" s="73"/>
      <c r="AA118" s="80"/>
      <c r="AB118" s="73"/>
    </row>
    <row r="119" ht="26.25" customHeight="1" spans="1:28">
      <c r="A119" s="67">
        <f>119-6</f>
        <v>113</v>
      </c>
      <c r="B119" s="68"/>
      <c r="C119" s="68"/>
      <c r="D119" s="68" t="s">
        <v>336</v>
      </c>
      <c r="E119" s="68"/>
      <c r="F119" s="68"/>
      <c r="G119" s="68"/>
      <c r="H119" s="68"/>
      <c r="I119" s="73">
        <f t="shared" si="66"/>
        <v>50.53</v>
      </c>
      <c r="J119" s="73">
        <f t="shared" ref="J119:M119" si="147">SUM(J120)</f>
        <v>0</v>
      </c>
      <c r="K119" s="73">
        <f t="shared" si="147"/>
        <v>50.53</v>
      </c>
      <c r="L119" s="73">
        <f t="shared" si="147"/>
        <v>0</v>
      </c>
      <c r="M119" s="73">
        <f t="shared" si="147"/>
        <v>0</v>
      </c>
      <c r="N119" s="73">
        <f t="shared" si="68"/>
        <v>50.53</v>
      </c>
      <c r="O119" s="73">
        <f t="shared" ref="O119:S119" si="148">SUM(O120)</f>
        <v>50.53</v>
      </c>
      <c r="P119" s="73">
        <f t="shared" si="148"/>
        <v>0</v>
      </c>
      <c r="Q119" s="73">
        <f t="shared" si="148"/>
        <v>0</v>
      </c>
      <c r="R119" s="73">
        <f t="shared" si="148"/>
        <v>0</v>
      </c>
      <c r="S119" s="73">
        <f t="shared" si="148"/>
        <v>0</v>
      </c>
      <c r="T119" s="73">
        <f t="shared" si="70"/>
        <v>0</v>
      </c>
      <c r="U119" s="73">
        <f t="shared" ref="U119:AA119" si="149">SUM(U120)</f>
        <v>0</v>
      </c>
      <c r="V119" s="73">
        <f t="shared" si="149"/>
        <v>0</v>
      </c>
      <c r="W119" s="73">
        <f t="shared" si="149"/>
        <v>0</v>
      </c>
      <c r="X119" s="73">
        <f t="shared" si="149"/>
        <v>0</v>
      </c>
      <c r="Y119" s="73">
        <f t="shared" si="149"/>
        <v>0</v>
      </c>
      <c r="Z119" s="73">
        <f t="shared" si="149"/>
        <v>0</v>
      </c>
      <c r="AA119" s="80">
        <f t="shared" si="149"/>
        <v>0</v>
      </c>
      <c r="AB119" s="73"/>
    </row>
    <row r="120" ht="26.25" customHeight="1" spans="1:28">
      <c r="A120" s="67">
        <f>120-6</f>
        <v>114</v>
      </c>
      <c r="B120" s="68"/>
      <c r="C120" s="68"/>
      <c r="D120" s="68"/>
      <c r="E120" s="68" t="s">
        <v>70</v>
      </c>
      <c r="F120" s="68"/>
      <c r="G120" s="68"/>
      <c r="H120" s="68"/>
      <c r="I120" s="73">
        <f t="shared" si="66"/>
        <v>50.53</v>
      </c>
      <c r="J120" s="73">
        <f t="shared" ref="J120:M120" si="150">SUM(J121)</f>
        <v>0</v>
      </c>
      <c r="K120" s="73">
        <f t="shared" si="150"/>
        <v>50.53</v>
      </c>
      <c r="L120" s="73">
        <f t="shared" si="150"/>
        <v>0</v>
      </c>
      <c r="M120" s="73">
        <f t="shared" si="150"/>
        <v>0</v>
      </c>
      <c r="N120" s="73">
        <f t="shared" si="68"/>
        <v>50.53</v>
      </c>
      <c r="O120" s="73">
        <f t="shared" ref="O120:S120" si="151">SUM(O121)</f>
        <v>50.53</v>
      </c>
      <c r="P120" s="73">
        <f t="shared" si="151"/>
        <v>0</v>
      </c>
      <c r="Q120" s="73">
        <f t="shared" si="151"/>
        <v>0</v>
      </c>
      <c r="R120" s="73">
        <f t="shared" si="151"/>
        <v>0</v>
      </c>
      <c r="S120" s="73">
        <f t="shared" si="151"/>
        <v>0</v>
      </c>
      <c r="T120" s="73">
        <f t="shared" si="70"/>
        <v>0</v>
      </c>
      <c r="U120" s="73">
        <f t="shared" ref="U120:AA120" si="152">SUM(U121)</f>
        <v>0</v>
      </c>
      <c r="V120" s="73">
        <f t="shared" si="152"/>
        <v>0</v>
      </c>
      <c r="W120" s="73">
        <f t="shared" si="152"/>
        <v>0</v>
      </c>
      <c r="X120" s="73">
        <f t="shared" si="152"/>
        <v>0</v>
      </c>
      <c r="Y120" s="73">
        <f t="shared" si="152"/>
        <v>0</v>
      </c>
      <c r="Z120" s="73">
        <f t="shared" si="152"/>
        <v>0</v>
      </c>
      <c r="AA120" s="80">
        <f t="shared" si="152"/>
        <v>0</v>
      </c>
      <c r="AB120" s="73"/>
    </row>
    <row r="121" ht="26.25" customHeight="1" spans="1:28">
      <c r="A121" s="67">
        <f>121-6</f>
        <v>115</v>
      </c>
      <c r="B121" s="68"/>
      <c r="C121" s="68"/>
      <c r="D121" s="68"/>
      <c r="E121" s="68"/>
      <c r="F121" s="68" t="s">
        <v>328</v>
      </c>
      <c r="G121" s="68"/>
      <c r="H121" s="68"/>
      <c r="I121" s="73">
        <f t="shared" si="66"/>
        <v>50.53</v>
      </c>
      <c r="J121" s="73">
        <f t="shared" ref="J121:M121" si="153">SUM(J122)</f>
        <v>0</v>
      </c>
      <c r="K121" s="73">
        <f t="shared" si="153"/>
        <v>50.53</v>
      </c>
      <c r="L121" s="73">
        <f t="shared" si="153"/>
        <v>0</v>
      </c>
      <c r="M121" s="73">
        <f t="shared" si="153"/>
        <v>0</v>
      </c>
      <c r="N121" s="73">
        <f t="shared" si="68"/>
        <v>50.53</v>
      </c>
      <c r="O121" s="73">
        <f t="shared" ref="O121:S121" si="154">SUM(O122)</f>
        <v>50.53</v>
      </c>
      <c r="P121" s="73">
        <f t="shared" si="154"/>
        <v>0</v>
      </c>
      <c r="Q121" s="73">
        <f t="shared" si="154"/>
        <v>0</v>
      </c>
      <c r="R121" s="73">
        <f t="shared" si="154"/>
        <v>0</v>
      </c>
      <c r="S121" s="73">
        <f t="shared" si="154"/>
        <v>0</v>
      </c>
      <c r="T121" s="73">
        <f t="shared" si="70"/>
        <v>0</v>
      </c>
      <c r="U121" s="73">
        <f t="shared" ref="U121:AA121" si="155">SUM(U122)</f>
        <v>0</v>
      </c>
      <c r="V121" s="73">
        <f t="shared" si="155"/>
        <v>0</v>
      </c>
      <c r="W121" s="73">
        <f t="shared" si="155"/>
        <v>0</v>
      </c>
      <c r="X121" s="73">
        <f t="shared" si="155"/>
        <v>0</v>
      </c>
      <c r="Y121" s="73">
        <f t="shared" si="155"/>
        <v>0</v>
      </c>
      <c r="Z121" s="73">
        <f t="shared" si="155"/>
        <v>0</v>
      </c>
      <c r="AA121" s="80">
        <f t="shared" si="155"/>
        <v>0</v>
      </c>
      <c r="AB121" s="81" t="s">
        <v>245</v>
      </c>
    </row>
    <row r="122" ht="26.25" customHeight="1" spans="1:28">
      <c r="A122" s="67">
        <f>122-6</f>
        <v>116</v>
      </c>
      <c r="B122" s="68"/>
      <c r="C122" s="68"/>
      <c r="D122" s="68"/>
      <c r="E122" s="68"/>
      <c r="F122" s="68"/>
      <c r="G122" s="68" t="s">
        <v>337</v>
      </c>
      <c r="H122" s="68"/>
      <c r="I122" s="73">
        <f t="shared" si="66"/>
        <v>50.53</v>
      </c>
      <c r="J122" s="73">
        <f t="shared" ref="J122:M122" si="156">SUM(J123:J127)</f>
        <v>0</v>
      </c>
      <c r="K122" s="73">
        <f t="shared" si="156"/>
        <v>50.53</v>
      </c>
      <c r="L122" s="73">
        <f t="shared" si="156"/>
        <v>0</v>
      </c>
      <c r="M122" s="73">
        <f t="shared" si="156"/>
        <v>0</v>
      </c>
      <c r="N122" s="73">
        <f t="shared" si="68"/>
        <v>50.53</v>
      </c>
      <c r="O122" s="73">
        <f t="shared" ref="O122:S122" si="157">SUM(O123:O127)</f>
        <v>50.53</v>
      </c>
      <c r="P122" s="73">
        <f t="shared" si="157"/>
        <v>0</v>
      </c>
      <c r="Q122" s="73">
        <f t="shared" si="157"/>
        <v>0</v>
      </c>
      <c r="R122" s="73">
        <f t="shared" si="157"/>
        <v>0</v>
      </c>
      <c r="S122" s="73">
        <f t="shared" si="157"/>
        <v>0</v>
      </c>
      <c r="T122" s="73">
        <f t="shared" si="70"/>
        <v>0</v>
      </c>
      <c r="U122" s="73">
        <f t="shared" ref="U122:AA122" si="158">SUM(U123:U127)</f>
        <v>0</v>
      </c>
      <c r="V122" s="73">
        <f t="shared" si="158"/>
        <v>0</v>
      </c>
      <c r="W122" s="73">
        <f t="shared" si="158"/>
        <v>0</v>
      </c>
      <c r="X122" s="73">
        <f t="shared" si="158"/>
        <v>0</v>
      </c>
      <c r="Y122" s="73">
        <f t="shared" si="158"/>
        <v>0</v>
      </c>
      <c r="Z122" s="73">
        <f t="shared" si="158"/>
        <v>0</v>
      </c>
      <c r="AA122" s="80">
        <f t="shared" si="158"/>
        <v>0</v>
      </c>
      <c r="AB122" s="73"/>
    </row>
    <row r="123" ht="26.25" customHeight="1" spans="1:28">
      <c r="A123" s="67">
        <f>123-6</f>
        <v>117</v>
      </c>
      <c r="B123" s="68"/>
      <c r="C123" s="68"/>
      <c r="D123" s="68"/>
      <c r="E123" s="68"/>
      <c r="F123" s="68"/>
      <c r="G123" s="68"/>
      <c r="H123" s="68" t="s">
        <v>338</v>
      </c>
      <c r="I123" s="73">
        <f t="shared" si="66"/>
        <v>4</v>
      </c>
      <c r="J123" s="73"/>
      <c r="K123" s="73">
        <v>4</v>
      </c>
      <c r="L123" s="73"/>
      <c r="M123" s="73"/>
      <c r="N123" s="73">
        <f t="shared" si="68"/>
        <v>4</v>
      </c>
      <c r="O123" s="73">
        <v>4</v>
      </c>
      <c r="P123" s="73"/>
      <c r="Q123" s="73"/>
      <c r="R123" s="73"/>
      <c r="S123" s="73"/>
      <c r="T123" s="73">
        <f t="shared" si="70"/>
        <v>0</v>
      </c>
      <c r="U123" s="73"/>
      <c r="V123" s="73"/>
      <c r="W123" s="73"/>
      <c r="X123" s="73"/>
      <c r="Y123" s="73"/>
      <c r="Z123" s="73"/>
      <c r="AA123" s="80"/>
      <c r="AB123" s="73"/>
    </row>
    <row r="124" ht="26.25" customHeight="1" spans="1:28">
      <c r="A124" s="67">
        <f>124-6</f>
        <v>118</v>
      </c>
      <c r="B124" s="68"/>
      <c r="C124" s="68"/>
      <c r="D124" s="68"/>
      <c r="E124" s="68"/>
      <c r="F124" s="68"/>
      <c r="G124" s="68"/>
      <c r="H124" s="68" t="s">
        <v>339</v>
      </c>
      <c r="I124" s="73">
        <f t="shared" si="66"/>
        <v>8</v>
      </c>
      <c r="J124" s="73"/>
      <c r="K124" s="73">
        <v>8</v>
      </c>
      <c r="L124" s="73"/>
      <c r="M124" s="73"/>
      <c r="N124" s="73">
        <f t="shared" si="68"/>
        <v>8</v>
      </c>
      <c r="O124" s="73">
        <v>8</v>
      </c>
      <c r="P124" s="73"/>
      <c r="Q124" s="73"/>
      <c r="R124" s="73"/>
      <c r="S124" s="73"/>
      <c r="T124" s="73">
        <f t="shared" si="70"/>
        <v>0</v>
      </c>
      <c r="U124" s="73"/>
      <c r="V124" s="73"/>
      <c r="W124" s="73"/>
      <c r="X124" s="73"/>
      <c r="Y124" s="73"/>
      <c r="Z124" s="73"/>
      <c r="AA124" s="80"/>
      <c r="AB124" s="73"/>
    </row>
    <row r="125" ht="26.25" customHeight="1" spans="1:28">
      <c r="A125" s="67">
        <f>125-6</f>
        <v>119</v>
      </c>
      <c r="B125" s="68"/>
      <c r="C125" s="68"/>
      <c r="D125" s="68"/>
      <c r="E125" s="68"/>
      <c r="F125" s="68"/>
      <c r="G125" s="68"/>
      <c r="H125" s="68" t="s">
        <v>340</v>
      </c>
      <c r="I125" s="73">
        <f t="shared" si="66"/>
        <v>16</v>
      </c>
      <c r="J125" s="73"/>
      <c r="K125" s="73">
        <v>16</v>
      </c>
      <c r="L125" s="73"/>
      <c r="M125" s="73"/>
      <c r="N125" s="73">
        <f t="shared" si="68"/>
        <v>16</v>
      </c>
      <c r="O125" s="73">
        <v>16</v>
      </c>
      <c r="P125" s="73"/>
      <c r="Q125" s="73"/>
      <c r="R125" s="73"/>
      <c r="S125" s="73"/>
      <c r="T125" s="73">
        <f t="shared" si="70"/>
        <v>0</v>
      </c>
      <c r="U125" s="73"/>
      <c r="V125" s="73"/>
      <c r="W125" s="73"/>
      <c r="X125" s="73"/>
      <c r="Y125" s="73"/>
      <c r="Z125" s="73"/>
      <c r="AA125" s="80"/>
      <c r="AB125" s="73"/>
    </row>
    <row r="126" ht="26.25" customHeight="1" spans="1:28">
      <c r="A126" s="67">
        <f>126-6</f>
        <v>120</v>
      </c>
      <c r="B126" s="68"/>
      <c r="C126" s="68"/>
      <c r="D126" s="68"/>
      <c r="E126" s="68"/>
      <c r="F126" s="68"/>
      <c r="G126" s="68"/>
      <c r="H126" s="68" t="s">
        <v>341</v>
      </c>
      <c r="I126" s="73">
        <f t="shared" si="66"/>
        <v>2.53</v>
      </c>
      <c r="J126" s="73"/>
      <c r="K126" s="73">
        <v>2.53</v>
      </c>
      <c r="L126" s="73"/>
      <c r="M126" s="73"/>
      <c r="N126" s="73">
        <f t="shared" si="68"/>
        <v>2.53</v>
      </c>
      <c r="O126" s="73">
        <v>2.53</v>
      </c>
      <c r="P126" s="73"/>
      <c r="Q126" s="73"/>
      <c r="R126" s="73"/>
      <c r="S126" s="73"/>
      <c r="T126" s="73">
        <f t="shared" si="70"/>
        <v>0</v>
      </c>
      <c r="U126" s="73"/>
      <c r="V126" s="73"/>
      <c r="W126" s="73"/>
      <c r="X126" s="73"/>
      <c r="Y126" s="73"/>
      <c r="Z126" s="73"/>
      <c r="AA126" s="80"/>
      <c r="AB126" s="73"/>
    </row>
    <row r="127" ht="26.25" customHeight="1" spans="1:28">
      <c r="A127" s="67">
        <f>127-6</f>
        <v>121</v>
      </c>
      <c r="B127" s="68"/>
      <c r="C127" s="68"/>
      <c r="D127" s="68"/>
      <c r="E127" s="68"/>
      <c r="F127" s="68"/>
      <c r="G127" s="68"/>
      <c r="H127" s="68" t="s">
        <v>342</v>
      </c>
      <c r="I127" s="73">
        <f t="shared" si="66"/>
        <v>20</v>
      </c>
      <c r="J127" s="73"/>
      <c r="K127" s="73">
        <v>20</v>
      </c>
      <c r="L127" s="73"/>
      <c r="M127" s="73"/>
      <c r="N127" s="73">
        <f t="shared" si="68"/>
        <v>20</v>
      </c>
      <c r="O127" s="73">
        <v>20</v>
      </c>
      <c r="P127" s="73"/>
      <c r="Q127" s="73"/>
      <c r="R127" s="73"/>
      <c r="S127" s="73"/>
      <c r="T127" s="73">
        <f t="shared" si="70"/>
        <v>0</v>
      </c>
      <c r="U127" s="73"/>
      <c r="V127" s="73"/>
      <c r="W127" s="73"/>
      <c r="X127" s="73"/>
      <c r="Y127" s="73"/>
      <c r="Z127" s="73"/>
      <c r="AA127" s="80"/>
      <c r="AB127" s="73"/>
    </row>
    <row r="128" ht="26.25" customHeight="1" spans="1:28">
      <c r="A128" s="67">
        <f>128-6</f>
        <v>122</v>
      </c>
      <c r="B128" s="68"/>
      <c r="C128" s="68" t="s">
        <v>140</v>
      </c>
      <c r="D128" s="68"/>
      <c r="E128" s="68"/>
      <c r="F128" s="68"/>
      <c r="G128" s="68"/>
      <c r="H128" s="68"/>
      <c r="I128" s="73">
        <f t="shared" si="66"/>
        <v>15843.39</v>
      </c>
      <c r="J128" s="73">
        <f t="shared" ref="J128:M128" si="159">SUM(J129)</f>
        <v>0</v>
      </c>
      <c r="K128" s="73">
        <f t="shared" si="159"/>
        <v>14163.496</v>
      </c>
      <c r="L128" s="73">
        <f t="shared" si="159"/>
        <v>1659.894</v>
      </c>
      <c r="M128" s="73">
        <f t="shared" si="159"/>
        <v>20</v>
      </c>
      <c r="N128" s="73">
        <f t="shared" si="68"/>
        <v>15843.39</v>
      </c>
      <c r="O128" s="73">
        <f t="shared" ref="O128:S128" si="160">SUM(O129)</f>
        <v>15843.39</v>
      </c>
      <c r="P128" s="73">
        <f t="shared" si="160"/>
        <v>0</v>
      </c>
      <c r="Q128" s="73">
        <f t="shared" si="160"/>
        <v>0</v>
      </c>
      <c r="R128" s="73">
        <f t="shared" si="160"/>
        <v>0</v>
      </c>
      <c r="S128" s="73">
        <f t="shared" si="160"/>
        <v>0</v>
      </c>
      <c r="T128" s="73">
        <f t="shared" si="70"/>
        <v>0</v>
      </c>
      <c r="U128" s="73">
        <f t="shared" ref="U128:AA128" si="161">SUM(U129)</f>
        <v>0</v>
      </c>
      <c r="V128" s="73">
        <f t="shared" si="161"/>
        <v>0</v>
      </c>
      <c r="W128" s="73">
        <f t="shared" si="161"/>
        <v>0</v>
      </c>
      <c r="X128" s="73">
        <f t="shared" si="161"/>
        <v>0</v>
      </c>
      <c r="Y128" s="73">
        <f t="shared" si="161"/>
        <v>0</v>
      </c>
      <c r="Z128" s="73">
        <f t="shared" si="161"/>
        <v>0</v>
      </c>
      <c r="AA128" s="80">
        <f t="shared" si="161"/>
        <v>1173.76</v>
      </c>
      <c r="AB128" s="73"/>
    </row>
    <row r="129" ht="26.25" customHeight="1" spans="1:28">
      <c r="A129" s="67">
        <f>129-6</f>
        <v>123</v>
      </c>
      <c r="B129" s="68"/>
      <c r="C129" s="68"/>
      <c r="D129" s="68" t="s">
        <v>343</v>
      </c>
      <c r="E129" s="68"/>
      <c r="F129" s="68"/>
      <c r="G129" s="68"/>
      <c r="H129" s="68"/>
      <c r="I129" s="73">
        <f t="shared" si="66"/>
        <v>15843.39</v>
      </c>
      <c r="J129" s="73">
        <f t="shared" ref="J129:M129" si="162">SUM(J130)</f>
        <v>0</v>
      </c>
      <c r="K129" s="73">
        <f t="shared" si="162"/>
        <v>14163.496</v>
      </c>
      <c r="L129" s="73">
        <f t="shared" si="162"/>
        <v>1659.894</v>
      </c>
      <c r="M129" s="73">
        <f t="shared" si="162"/>
        <v>20</v>
      </c>
      <c r="N129" s="73">
        <f t="shared" si="68"/>
        <v>15843.39</v>
      </c>
      <c r="O129" s="73">
        <f t="shared" ref="O129:S129" si="163">SUM(O130)</f>
        <v>15843.39</v>
      </c>
      <c r="P129" s="73">
        <f t="shared" si="163"/>
        <v>0</v>
      </c>
      <c r="Q129" s="73">
        <f t="shared" si="163"/>
        <v>0</v>
      </c>
      <c r="R129" s="73">
        <f t="shared" si="163"/>
        <v>0</v>
      </c>
      <c r="S129" s="73">
        <f t="shared" si="163"/>
        <v>0</v>
      </c>
      <c r="T129" s="73">
        <f t="shared" si="70"/>
        <v>0</v>
      </c>
      <c r="U129" s="73">
        <f t="shared" ref="U129:AA129" si="164">SUM(U130)</f>
        <v>0</v>
      </c>
      <c r="V129" s="73">
        <f t="shared" si="164"/>
        <v>0</v>
      </c>
      <c r="W129" s="73">
        <f t="shared" si="164"/>
        <v>0</v>
      </c>
      <c r="X129" s="73">
        <f t="shared" si="164"/>
        <v>0</v>
      </c>
      <c r="Y129" s="73">
        <f t="shared" si="164"/>
        <v>0</v>
      </c>
      <c r="Z129" s="73">
        <f t="shared" si="164"/>
        <v>0</v>
      </c>
      <c r="AA129" s="80">
        <f t="shared" si="164"/>
        <v>1173.76</v>
      </c>
      <c r="AB129" s="73"/>
    </row>
    <row r="130" ht="26.25" customHeight="1" spans="1:28">
      <c r="A130" s="67">
        <f>130-6</f>
        <v>124</v>
      </c>
      <c r="B130" s="68"/>
      <c r="C130" s="68"/>
      <c r="D130" s="68"/>
      <c r="E130" s="68" t="s">
        <v>75</v>
      </c>
      <c r="F130" s="68"/>
      <c r="G130" s="68"/>
      <c r="H130" s="68"/>
      <c r="I130" s="73">
        <f t="shared" si="66"/>
        <v>15843.39</v>
      </c>
      <c r="J130" s="73">
        <f t="shared" ref="J130:M130" si="165">SUM(J131,J151,J163,J172,J175,J191,J204,J208,J214,J252,J259,J270,J279,J285,J300,J319)</f>
        <v>0</v>
      </c>
      <c r="K130" s="73">
        <f t="shared" si="165"/>
        <v>14163.496</v>
      </c>
      <c r="L130" s="73">
        <f t="shared" si="165"/>
        <v>1659.894</v>
      </c>
      <c r="M130" s="73">
        <f t="shared" si="165"/>
        <v>20</v>
      </c>
      <c r="N130" s="73">
        <f t="shared" si="68"/>
        <v>15843.39</v>
      </c>
      <c r="O130" s="73">
        <f t="shared" ref="O130:S130" si="166">SUM(O131,O151,O163,O172,O175,O191,O204,O208,O214,O252,O259,O270,O279,O285,O300,O319)</f>
        <v>15843.39</v>
      </c>
      <c r="P130" s="73">
        <f t="shared" si="166"/>
        <v>0</v>
      </c>
      <c r="Q130" s="73">
        <f t="shared" si="166"/>
        <v>0</v>
      </c>
      <c r="R130" s="73">
        <f t="shared" si="166"/>
        <v>0</v>
      </c>
      <c r="S130" s="73">
        <f t="shared" si="166"/>
        <v>0</v>
      </c>
      <c r="T130" s="73">
        <f t="shared" si="70"/>
        <v>0</v>
      </c>
      <c r="U130" s="73">
        <f t="shared" ref="U130:AA130" si="167">SUM(U131,U151,U163,U172,U175,U191,U204,U208,U214,U252,U259,U270,U279,U285,U300,U319)</f>
        <v>0</v>
      </c>
      <c r="V130" s="73">
        <f t="shared" si="167"/>
        <v>0</v>
      </c>
      <c r="W130" s="73">
        <f t="shared" si="167"/>
        <v>0</v>
      </c>
      <c r="X130" s="73">
        <f t="shared" si="167"/>
        <v>0</v>
      </c>
      <c r="Y130" s="73">
        <f t="shared" si="167"/>
        <v>0</v>
      </c>
      <c r="Z130" s="73">
        <f t="shared" si="167"/>
        <v>0</v>
      </c>
      <c r="AA130" s="80">
        <f t="shared" si="167"/>
        <v>1173.76</v>
      </c>
      <c r="AB130" s="73"/>
    </row>
    <row r="131" ht="26.25" customHeight="1" spans="1:28">
      <c r="A131" s="67">
        <f>131-6</f>
        <v>125</v>
      </c>
      <c r="B131" s="68"/>
      <c r="C131" s="68"/>
      <c r="D131" s="68"/>
      <c r="E131" s="68"/>
      <c r="F131" s="68" t="s">
        <v>344</v>
      </c>
      <c r="G131" s="68"/>
      <c r="H131" s="68"/>
      <c r="I131" s="73">
        <f t="shared" si="66"/>
        <v>355.8</v>
      </c>
      <c r="J131" s="73">
        <f t="shared" ref="J131:M131" si="168">SUM(J132,J140)</f>
        <v>0</v>
      </c>
      <c r="K131" s="73">
        <f t="shared" si="168"/>
        <v>355.8</v>
      </c>
      <c r="L131" s="73">
        <f t="shared" si="168"/>
        <v>0</v>
      </c>
      <c r="M131" s="73">
        <f t="shared" si="168"/>
        <v>0</v>
      </c>
      <c r="N131" s="73">
        <f t="shared" si="68"/>
        <v>355.8</v>
      </c>
      <c r="O131" s="73">
        <f t="shared" ref="O131:S131" si="169">SUM(O132,O140)</f>
        <v>355.8</v>
      </c>
      <c r="P131" s="73">
        <f t="shared" si="169"/>
        <v>0</v>
      </c>
      <c r="Q131" s="73">
        <f t="shared" si="169"/>
        <v>0</v>
      </c>
      <c r="R131" s="73">
        <f t="shared" si="169"/>
        <v>0</v>
      </c>
      <c r="S131" s="73">
        <f t="shared" si="169"/>
        <v>0</v>
      </c>
      <c r="T131" s="73">
        <f t="shared" si="70"/>
        <v>0</v>
      </c>
      <c r="U131" s="73">
        <f t="shared" ref="U131:AA131" si="170">SUM(U132,U140)</f>
        <v>0</v>
      </c>
      <c r="V131" s="73">
        <f t="shared" si="170"/>
        <v>0</v>
      </c>
      <c r="W131" s="73">
        <f t="shared" si="170"/>
        <v>0</v>
      </c>
      <c r="X131" s="73">
        <f t="shared" si="170"/>
        <v>0</v>
      </c>
      <c r="Y131" s="73">
        <f t="shared" si="170"/>
        <v>0</v>
      </c>
      <c r="Z131" s="73">
        <f t="shared" si="170"/>
        <v>0</v>
      </c>
      <c r="AA131" s="80">
        <f t="shared" si="170"/>
        <v>74</v>
      </c>
      <c r="AB131" s="81" t="s">
        <v>245</v>
      </c>
    </row>
    <row r="132" ht="26.25" customHeight="1" spans="1:28">
      <c r="A132" s="67">
        <f>132-6</f>
        <v>126</v>
      </c>
      <c r="B132" s="68"/>
      <c r="C132" s="68"/>
      <c r="D132" s="68"/>
      <c r="E132" s="68"/>
      <c r="F132" s="68"/>
      <c r="G132" s="68" t="s">
        <v>345</v>
      </c>
      <c r="H132" s="68"/>
      <c r="I132" s="73">
        <f t="shared" si="66"/>
        <v>88</v>
      </c>
      <c r="J132" s="73">
        <f t="shared" ref="J132:M132" si="171">SUM(J133:J139)</f>
        <v>0</v>
      </c>
      <c r="K132" s="73">
        <f t="shared" si="171"/>
        <v>88</v>
      </c>
      <c r="L132" s="73">
        <f t="shared" si="171"/>
        <v>0</v>
      </c>
      <c r="M132" s="73">
        <f t="shared" si="171"/>
        <v>0</v>
      </c>
      <c r="N132" s="73">
        <f t="shared" si="68"/>
        <v>88</v>
      </c>
      <c r="O132" s="73">
        <f t="shared" ref="O132:S132" si="172">SUM(O133:O139)</f>
        <v>88</v>
      </c>
      <c r="P132" s="73">
        <f t="shared" si="172"/>
        <v>0</v>
      </c>
      <c r="Q132" s="73">
        <f t="shared" si="172"/>
        <v>0</v>
      </c>
      <c r="R132" s="73">
        <f t="shared" si="172"/>
        <v>0</v>
      </c>
      <c r="S132" s="73">
        <f t="shared" si="172"/>
        <v>0</v>
      </c>
      <c r="T132" s="73">
        <f t="shared" si="70"/>
        <v>0</v>
      </c>
      <c r="U132" s="73">
        <f t="shared" ref="U132:AA132" si="173">SUM(U133:U139)</f>
        <v>0</v>
      </c>
      <c r="V132" s="73">
        <f t="shared" si="173"/>
        <v>0</v>
      </c>
      <c r="W132" s="73">
        <f t="shared" si="173"/>
        <v>0</v>
      </c>
      <c r="X132" s="73">
        <f t="shared" si="173"/>
        <v>0</v>
      </c>
      <c r="Y132" s="73">
        <f t="shared" si="173"/>
        <v>0</v>
      </c>
      <c r="Z132" s="73">
        <f t="shared" si="173"/>
        <v>0</v>
      </c>
      <c r="AA132" s="80">
        <f t="shared" si="173"/>
        <v>74</v>
      </c>
      <c r="AB132" s="73"/>
    </row>
    <row r="133" ht="26.25" customHeight="1" spans="1:28">
      <c r="A133" s="67">
        <f>133-6</f>
        <v>127</v>
      </c>
      <c r="B133" s="68"/>
      <c r="C133" s="68"/>
      <c r="D133" s="68"/>
      <c r="E133" s="68"/>
      <c r="F133" s="68"/>
      <c r="G133" s="68"/>
      <c r="H133" s="68" t="s">
        <v>346</v>
      </c>
      <c r="I133" s="73">
        <f t="shared" si="66"/>
        <v>20</v>
      </c>
      <c r="J133" s="73"/>
      <c r="K133" s="73">
        <v>20</v>
      </c>
      <c r="L133" s="73"/>
      <c r="M133" s="73"/>
      <c r="N133" s="73">
        <f t="shared" si="68"/>
        <v>20</v>
      </c>
      <c r="O133" s="73">
        <v>20</v>
      </c>
      <c r="P133" s="73"/>
      <c r="Q133" s="73"/>
      <c r="R133" s="73"/>
      <c r="S133" s="73"/>
      <c r="T133" s="73">
        <f t="shared" si="70"/>
        <v>0</v>
      </c>
      <c r="U133" s="73"/>
      <c r="V133" s="73"/>
      <c r="W133" s="73"/>
      <c r="X133" s="73"/>
      <c r="Y133" s="73"/>
      <c r="Z133" s="73"/>
      <c r="AA133" s="80">
        <v>20</v>
      </c>
      <c r="AB133" s="73"/>
    </row>
    <row r="134" ht="26.25" customHeight="1" spans="1:28">
      <c r="A134" s="67">
        <f>134-6</f>
        <v>128</v>
      </c>
      <c r="B134" s="68"/>
      <c r="C134" s="68"/>
      <c r="D134" s="68"/>
      <c r="E134" s="68"/>
      <c r="F134" s="68"/>
      <c r="G134" s="68"/>
      <c r="H134" s="68" t="s">
        <v>347</v>
      </c>
      <c r="I134" s="73">
        <f t="shared" ref="I134:I197" si="174">J134+K134+L134+M134</f>
        <v>7</v>
      </c>
      <c r="J134" s="73"/>
      <c r="K134" s="73">
        <v>7</v>
      </c>
      <c r="L134" s="73"/>
      <c r="M134" s="73"/>
      <c r="N134" s="73">
        <f t="shared" ref="N134:N197" si="175">O134+P134+Q134</f>
        <v>7</v>
      </c>
      <c r="O134" s="73">
        <v>7</v>
      </c>
      <c r="P134" s="73"/>
      <c r="Q134" s="73"/>
      <c r="R134" s="73"/>
      <c r="S134" s="73"/>
      <c r="T134" s="73">
        <f t="shared" ref="T134:T197" si="176">U134+V134+W134+X134+Y134</f>
        <v>0</v>
      </c>
      <c r="U134" s="73"/>
      <c r="V134" s="73"/>
      <c r="W134" s="73"/>
      <c r="X134" s="73"/>
      <c r="Y134" s="73"/>
      <c r="Z134" s="73"/>
      <c r="AA134" s="80"/>
      <c r="AB134" s="73"/>
    </row>
    <row r="135" ht="26.25" customHeight="1" spans="1:28">
      <c r="A135" s="67">
        <f>135-6</f>
        <v>129</v>
      </c>
      <c r="B135" s="68"/>
      <c r="C135" s="68"/>
      <c r="D135" s="68"/>
      <c r="E135" s="68"/>
      <c r="F135" s="68"/>
      <c r="G135" s="68"/>
      <c r="H135" s="68" t="s">
        <v>348</v>
      </c>
      <c r="I135" s="73">
        <f t="shared" si="174"/>
        <v>2</v>
      </c>
      <c r="J135" s="73"/>
      <c r="K135" s="73">
        <v>2</v>
      </c>
      <c r="L135" s="73"/>
      <c r="M135" s="73"/>
      <c r="N135" s="73">
        <f t="shared" si="175"/>
        <v>2</v>
      </c>
      <c r="O135" s="73">
        <v>2</v>
      </c>
      <c r="P135" s="73"/>
      <c r="Q135" s="73"/>
      <c r="R135" s="73"/>
      <c r="S135" s="73"/>
      <c r="T135" s="73">
        <f t="shared" si="176"/>
        <v>0</v>
      </c>
      <c r="U135" s="73"/>
      <c r="V135" s="73"/>
      <c r="W135" s="73"/>
      <c r="X135" s="73"/>
      <c r="Y135" s="73"/>
      <c r="Z135" s="73"/>
      <c r="AA135" s="80"/>
      <c r="AB135" s="73"/>
    </row>
    <row r="136" ht="26.25" customHeight="1" spans="1:28">
      <c r="A136" s="67">
        <f>136-6</f>
        <v>130</v>
      </c>
      <c r="B136" s="68"/>
      <c r="C136" s="68"/>
      <c r="D136" s="68"/>
      <c r="E136" s="68"/>
      <c r="F136" s="68"/>
      <c r="G136" s="68"/>
      <c r="H136" s="68" t="s">
        <v>349</v>
      </c>
      <c r="I136" s="73">
        <f t="shared" si="174"/>
        <v>4</v>
      </c>
      <c r="J136" s="73"/>
      <c r="K136" s="73">
        <v>4</v>
      </c>
      <c r="L136" s="73"/>
      <c r="M136" s="73"/>
      <c r="N136" s="73">
        <f t="shared" si="175"/>
        <v>4</v>
      </c>
      <c r="O136" s="73">
        <v>4</v>
      </c>
      <c r="P136" s="73"/>
      <c r="Q136" s="73"/>
      <c r="R136" s="73"/>
      <c r="S136" s="73"/>
      <c r="T136" s="73">
        <f t="shared" si="176"/>
        <v>0</v>
      </c>
      <c r="U136" s="73"/>
      <c r="V136" s="73"/>
      <c r="W136" s="73"/>
      <c r="X136" s="73"/>
      <c r="Y136" s="73"/>
      <c r="Z136" s="73"/>
      <c r="AA136" s="80">
        <v>4</v>
      </c>
      <c r="AB136" s="73"/>
    </row>
    <row r="137" ht="26.25" customHeight="1" spans="1:28">
      <c r="A137" s="67">
        <f>137-6</f>
        <v>131</v>
      </c>
      <c r="B137" s="68"/>
      <c r="C137" s="68"/>
      <c r="D137" s="68"/>
      <c r="E137" s="68"/>
      <c r="F137" s="68"/>
      <c r="G137" s="68"/>
      <c r="H137" s="68" t="s">
        <v>350</v>
      </c>
      <c r="I137" s="73">
        <f t="shared" si="174"/>
        <v>35</v>
      </c>
      <c r="J137" s="73"/>
      <c r="K137" s="73">
        <v>35</v>
      </c>
      <c r="L137" s="73"/>
      <c r="M137" s="73"/>
      <c r="N137" s="73">
        <f t="shared" si="175"/>
        <v>35</v>
      </c>
      <c r="O137" s="73">
        <v>35</v>
      </c>
      <c r="P137" s="73"/>
      <c r="Q137" s="73"/>
      <c r="R137" s="73"/>
      <c r="S137" s="73"/>
      <c r="T137" s="73">
        <f t="shared" si="176"/>
        <v>0</v>
      </c>
      <c r="U137" s="73"/>
      <c r="V137" s="73"/>
      <c r="W137" s="73"/>
      <c r="X137" s="73"/>
      <c r="Y137" s="73"/>
      <c r="Z137" s="73"/>
      <c r="AA137" s="80">
        <v>35</v>
      </c>
      <c r="AB137" s="73"/>
    </row>
    <row r="138" ht="26.25" customHeight="1" spans="1:28">
      <c r="A138" s="67">
        <f>138-6</f>
        <v>132</v>
      </c>
      <c r="B138" s="68"/>
      <c r="C138" s="68"/>
      <c r="D138" s="68"/>
      <c r="E138" s="68"/>
      <c r="F138" s="68"/>
      <c r="G138" s="68"/>
      <c r="H138" s="68" t="s">
        <v>351</v>
      </c>
      <c r="I138" s="73">
        <f t="shared" si="174"/>
        <v>15</v>
      </c>
      <c r="J138" s="73"/>
      <c r="K138" s="73">
        <v>15</v>
      </c>
      <c r="L138" s="73"/>
      <c r="M138" s="73"/>
      <c r="N138" s="73">
        <f t="shared" si="175"/>
        <v>15</v>
      </c>
      <c r="O138" s="73">
        <v>15</v>
      </c>
      <c r="P138" s="73"/>
      <c r="Q138" s="73"/>
      <c r="R138" s="73"/>
      <c r="S138" s="73"/>
      <c r="T138" s="73">
        <f t="shared" si="176"/>
        <v>0</v>
      </c>
      <c r="U138" s="73"/>
      <c r="V138" s="73"/>
      <c r="W138" s="73"/>
      <c r="X138" s="73"/>
      <c r="Y138" s="73"/>
      <c r="Z138" s="73"/>
      <c r="AA138" s="80">
        <v>15</v>
      </c>
      <c r="AB138" s="73"/>
    </row>
    <row r="139" ht="26.25" customHeight="1" spans="1:28">
      <c r="A139" s="67">
        <f>139-6</f>
        <v>133</v>
      </c>
      <c r="B139" s="68"/>
      <c r="C139" s="68"/>
      <c r="D139" s="68"/>
      <c r="E139" s="68"/>
      <c r="F139" s="68"/>
      <c r="G139" s="68"/>
      <c r="H139" s="68" t="s">
        <v>352</v>
      </c>
      <c r="I139" s="73">
        <f t="shared" si="174"/>
        <v>5</v>
      </c>
      <c r="J139" s="73"/>
      <c r="K139" s="73">
        <v>5</v>
      </c>
      <c r="L139" s="73"/>
      <c r="M139" s="73"/>
      <c r="N139" s="73">
        <f t="shared" si="175"/>
        <v>5</v>
      </c>
      <c r="O139" s="73">
        <v>5</v>
      </c>
      <c r="P139" s="73"/>
      <c r="Q139" s="73"/>
      <c r="R139" s="73"/>
      <c r="S139" s="73"/>
      <c r="T139" s="73">
        <f t="shared" si="176"/>
        <v>0</v>
      </c>
      <c r="U139" s="73"/>
      <c r="V139" s="73"/>
      <c r="W139" s="73"/>
      <c r="X139" s="73"/>
      <c r="Y139" s="73"/>
      <c r="Z139" s="73"/>
      <c r="AA139" s="80"/>
      <c r="AB139" s="73"/>
    </row>
    <row r="140" ht="26.25" customHeight="1" spans="1:28">
      <c r="A140" s="67">
        <f>140-6</f>
        <v>134</v>
      </c>
      <c r="B140" s="68"/>
      <c r="C140" s="68"/>
      <c r="D140" s="68"/>
      <c r="E140" s="68"/>
      <c r="F140" s="68"/>
      <c r="G140" s="68" t="s">
        <v>353</v>
      </c>
      <c r="H140" s="68"/>
      <c r="I140" s="73">
        <f t="shared" si="174"/>
        <v>267.8</v>
      </c>
      <c r="J140" s="73">
        <f t="shared" ref="J140:M140" si="177">SUM(J141:J150)</f>
        <v>0</v>
      </c>
      <c r="K140" s="73">
        <f t="shared" si="177"/>
        <v>267.8</v>
      </c>
      <c r="L140" s="73">
        <f t="shared" si="177"/>
        <v>0</v>
      </c>
      <c r="M140" s="73">
        <f t="shared" si="177"/>
        <v>0</v>
      </c>
      <c r="N140" s="73">
        <f t="shared" si="175"/>
        <v>267.8</v>
      </c>
      <c r="O140" s="73">
        <f t="shared" ref="O140:S140" si="178">SUM(O141:O150)</f>
        <v>267.8</v>
      </c>
      <c r="P140" s="73">
        <f t="shared" si="178"/>
        <v>0</v>
      </c>
      <c r="Q140" s="73">
        <f t="shared" si="178"/>
        <v>0</v>
      </c>
      <c r="R140" s="73">
        <f t="shared" si="178"/>
        <v>0</v>
      </c>
      <c r="S140" s="73">
        <f t="shared" si="178"/>
        <v>0</v>
      </c>
      <c r="T140" s="73">
        <f t="shared" si="176"/>
        <v>0</v>
      </c>
      <c r="U140" s="73">
        <f t="shared" ref="U140:AA140" si="179">SUM(U141:U150)</f>
        <v>0</v>
      </c>
      <c r="V140" s="73">
        <f t="shared" si="179"/>
        <v>0</v>
      </c>
      <c r="W140" s="73">
        <f t="shared" si="179"/>
        <v>0</v>
      </c>
      <c r="X140" s="73">
        <f t="shared" si="179"/>
        <v>0</v>
      </c>
      <c r="Y140" s="73">
        <f t="shared" si="179"/>
        <v>0</v>
      </c>
      <c r="Z140" s="73">
        <f t="shared" si="179"/>
        <v>0</v>
      </c>
      <c r="AA140" s="80">
        <f t="shared" si="179"/>
        <v>0</v>
      </c>
      <c r="AB140" s="73"/>
    </row>
    <row r="141" ht="26.25" customHeight="1" spans="1:28">
      <c r="A141" s="67">
        <f>141-6</f>
        <v>135</v>
      </c>
      <c r="B141" s="68"/>
      <c r="C141" s="68"/>
      <c r="D141" s="68"/>
      <c r="E141" s="68"/>
      <c r="F141" s="68"/>
      <c r="G141" s="68"/>
      <c r="H141" s="68" t="s">
        <v>354</v>
      </c>
      <c r="I141" s="73">
        <f t="shared" si="174"/>
        <v>102.8</v>
      </c>
      <c r="J141" s="73"/>
      <c r="K141" s="73">
        <v>102.8</v>
      </c>
      <c r="L141" s="73"/>
      <c r="M141" s="73"/>
      <c r="N141" s="73">
        <f t="shared" si="175"/>
        <v>102.8</v>
      </c>
      <c r="O141" s="73">
        <v>102.8</v>
      </c>
      <c r="P141" s="73"/>
      <c r="Q141" s="73"/>
      <c r="R141" s="73"/>
      <c r="S141" s="73"/>
      <c r="T141" s="73">
        <f t="shared" si="176"/>
        <v>0</v>
      </c>
      <c r="U141" s="73"/>
      <c r="V141" s="73"/>
      <c r="W141" s="73"/>
      <c r="X141" s="73"/>
      <c r="Y141" s="73"/>
      <c r="Z141" s="73"/>
      <c r="AA141" s="80"/>
      <c r="AB141" s="73"/>
    </row>
    <row r="142" ht="26.25" customHeight="1" spans="1:28">
      <c r="A142" s="67">
        <f>142-6</f>
        <v>136</v>
      </c>
      <c r="B142" s="68"/>
      <c r="C142" s="68"/>
      <c r="D142" s="68"/>
      <c r="E142" s="68"/>
      <c r="F142" s="68"/>
      <c r="G142" s="68"/>
      <c r="H142" s="68" t="s">
        <v>355</v>
      </c>
      <c r="I142" s="73">
        <f t="shared" si="174"/>
        <v>15</v>
      </c>
      <c r="J142" s="73"/>
      <c r="K142" s="73">
        <v>15</v>
      </c>
      <c r="L142" s="73"/>
      <c r="M142" s="73"/>
      <c r="N142" s="73">
        <f t="shared" si="175"/>
        <v>15</v>
      </c>
      <c r="O142" s="73">
        <v>15</v>
      </c>
      <c r="P142" s="73"/>
      <c r="Q142" s="73"/>
      <c r="R142" s="73"/>
      <c r="S142" s="73"/>
      <c r="T142" s="73">
        <f t="shared" si="176"/>
        <v>0</v>
      </c>
      <c r="U142" s="73"/>
      <c r="V142" s="73"/>
      <c r="W142" s="73"/>
      <c r="X142" s="73"/>
      <c r="Y142" s="73"/>
      <c r="Z142" s="73"/>
      <c r="AA142" s="80"/>
      <c r="AB142" s="73"/>
    </row>
    <row r="143" ht="26.25" customHeight="1" spans="1:28">
      <c r="A143" s="67">
        <f>143-6</f>
        <v>137</v>
      </c>
      <c r="B143" s="68"/>
      <c r="C143" s="68"/>
      <c r="D143" s="68"/>
      <c r="E143" s="68"/>
      <c r="F143" s="68"/>
      <c r="G143" s="68"/>
      <c r="H143" s="68" t="s">
        <v>356</v>
      </c>
      <c r="I143" s="73">
        <f t="shared" si="174"/>
        <v>46</v>
      </c>
      <c r="J143" s="73"/>
      <c r="K143" s="73">
        <v>46</v>
      </c>
      <c r="L143" s="73"/>
      <c r="M143" s="73"/>
      <c r="N143" s="73">
        <f t="shared" si="175"/>
        <v>46</v>
      </c>
      <c r="O143" s="73">
        <v>46</v>
      </c>
      <c r="P143" s="73"/>
      <c r="Q143" s="73"/>
      <c r="R143" s="73"/>
      <c r="S143" s="73"/>
      <c r="T143" s="73">
        <f t="shared" si="176"/>
        <v>0</v>
      </c>
      <c r="U143" s="73"/>
      <c r="V143" s="73"/>
      <c r="W143" s="73"/>
      <c r="X143" s="73"/>
      <c r="Y143" s="73"/>
      <c r="Z143" s="73"/>
      <c r="AA143" s="80"/>
      <c r="AB143" s="73"/>
    </row>
    <row r="144" ht="26.25" customHeight="1" spans="1:28">
      <c r="A144" s="67">
        <f>144-6</f>
        <v>138</v>
      </c>
      <c r="B144" s="68"/>
      <c r="C144" s="68"/>
      <c r="D144" s="68"/>
      <c r="E144" s="68"/>
      <c r="F144" s="68"/>
      <c r="G144" s="68"/>
      <c r="H144" s="68" t="s">
        <v>357</v>
      </c>
      <c r="I144" s="73">
        <f t="shared" si="174"/>
        <v>4</v>
      </c>
      <c r="J144" s="73"/>
      <c r="K144" s="73">
        <v>4</v>
      </c>
      <c r="L144" s="73"/>
      <c r="M144" s="73"/>
      <c r="N144" s="73">
        <f t="shared" si="175"/>
        <v>4</v>
      </c>
      <c r="O144" s="73">
        <v>4</v>
      </c>
      <c r="P144" s="73"/>
      <c r="Q144" s="73"/>
      <c r="R144" s="73"/>
      <c r="S144" s="73"/>
      <c r="T144" s="73">
        <f t="shared" si="176"/>
        <v>0</v>
      </c>
      <c r="U144" s="73"/>
      <c r="V144" s="73"/>
      <c r="W144" s="73"/>
      <c r="X144" s="73"/>
      <c r="Y144" s="73"/>
      <c r="Z144" s="73"/>
      <c r="AA144" s="80"/>
      <c r="AB144" s="73"/>
    </row>
    <row r="145" ht="26.25" customHeight="1" spans="1:28">
      <c r="A145" s="67">
        <f>145-6</f>
        <v>139</v>
      </c>
      <c r="B145" s="68"/>
      <c r="C145" s="68"/>
      <c r="D145" s="68"/>
      <c r="E145" s="68"/>
      <c r="F145" s="68"/>
      <c r="G145" s="68"/>
      <c r="H145" s="68" t="s">
        <v>358</v>
      </c>
      <c r="I145" s="73">
        <f t="shared" si="174"/>
        <v>14</v>
      </c>
      <c r="J145" s="73"/>
      <c r="K145" s="73">
        <v>14</v>
      </c>
      <c r="L145" s="73"/>
      <c r="M145" s="73"/>
      <c r="N145" s="73">
        <f t="shared" si="175"/>
        <v>14</v>
      </c>
      <c r="O145" s="73">
        <v>14</v>
      </c>
      <c r="P145" s="73"/>
      <c r="Q145" s="73"/>
      <c r="R145" s="73"/>
      <c r="S145" s="73"/>
      <c r="T145" s="73">
        <f t="shared" si="176"/>
        <v>0</v>
      </c>
      <c r="U145" s="73"/>
      <c r="V145" s="73"/>
      <c r="W145" s="73"/>
      <c r="X145" s="73"/>
      <c r="Y145" s="73"/>
      <c r="Z145" s="73"/>
      <c r="AA145" s="80"/>
      <c r="AB145" s="73"/>
    </row>
    <row r="146" ht="26.25" customHeight="1" spans="1:28">
      <c r="A146" s="67">
        <f>146-6</f>
        <v>140</v>
      </c>
      <c r="B146" s="68"/>
      <c r="C146" s="68"/>
      <c r="D146" s="68"/>
      <c r="E146" s="68"/>
      <c r="F146" s="68"/>
      <c r="G146" s="68"/>
      <c r="H146" s="68" t="s">
        <v>359</v>
      </c>
      <c r="I146" s="73">
        <f t="shared" si="174"/>
        <v>6</v>
      </c>
      <c r="J146" s="73"/>
      <c r="K146" s="73">
        <v>6</v>
      </c>
      <c r="L146" s="73"/>
      <c r="M146" s="73"/>
      <c r="N146" s="73">
        <f t="shared" si="175"/>
        <v>6</v>
      </c>
      <c r="O146" s="73">
        <v>6</v>
      </c>
      <c r="P146" s="73"/>
      <c r="Q146" s="73"/>
      <c r="R146" s="73"/>
      <c r="S146" s="73"/>
      <c r="T146" s="73">
        <f t="shared" si="176"/>
        <v>0</v>
      </c>
      <c r="U146" s="73"/>
      <c r="V146" s="73"/>
      <c r="W146" s="73"/>
      <c r="X146" s="73"/>
      <c r="Y146" s="73"/>
      <c r="Z146" s="73"/>
      <c r="AA146" s="80"/>
      <c r="AB146" s="73"/>
    </row>
    <row r="147" ht="26.25" customHeight="1" spans="1:28">
      <c r="A147" s="67">
        <f>147-6</f>
        <v>141</v>
      </c>
      <c r="B147" s="68"/>
      <c r="C147" s="68"/>
      <c r="D147" s="68"/>
      <c r="E147" s="68"/>
      <c r="F147" s="68"/>
      <c r="G147" s="68"/>
      <c r="H147" s="68" t="s">
        <v>360</v>
      </c>
      <c r="I147" s="73">
        <f t="shared" si="174"/>
        <v>20</v>
      </c>
      <c r="J147" s="73"/>
      <c r="K147" s="73">
        <v>20</v>
      </c>
      <c r="L147" s="73"/>
      <c r="M147" s="73"/>
      <c r="N147" s="73">
        <f t="shared" si="175"/>
        <v>20</v>
      </c>
      <c r="O147" s="73">
        <v>20</v>
      </c>
      <c r="P147" s="73"/>
      <c r="Q147" s="73"/>
      <c r="R147" s="73"/>
      <c r="S147" s="73"/>
      <c r="T147" s="73">
        <f t="shared" si="176"/>
        <v>0</v>
      </c>
      <c r="U147" s="73"/>
      <c r="V147" s="73"/>
      <c r="W147" s="73"/>
      <c r="X147" s="73"/>
      <c r="Y147" s="73"/>
      <c r="Z147" s="73"/>
      <c r="AA147" s="80"/>
      <c r="AB147" s="73"/>
    </row>
    <row r="148" ht="26.25" customHeight="1" spans="1:28">
      <c r="A148" s="67">
        <f>148-6</f>
        <v>142</v>
      </c>
      <c r="B148" s="68"/>
      <c r="C148" s="68"/>
      <c r="D148" s="68"/>
      <c r="E148" s="68"/>
      <c r="F148" s="68"/>
      <c r="G148" s="68"/>
      <c r="H148" s="68" t="s">
        <v>361</v>
      </c>
      <c r="I148" s="73">
        <f t="shared" si="174"/>
        <v>15</v>
      </c>
      <c r="J148" s="73"/>
      <c r="K148" s="73">
        <v>15</v>
      </c>
      <c r="L148" s="73"/>
      <c r="M148" s="73"/>
      <c r="N148" s="73">
        <f t="shared" si="175"/>
        <v>15</v>
      </c>
      <c r="O148" s="73">
        <v>15</v>
      </c>
      <c r="P148" s="73"/>
      <c r="Q148" s="73"/>
      <c r="R148" s="73"/>
      <c r="S148" s="73"/>
      <c r="T148" s="73">
        <f t="shared" si="176"/>
        <v>0</v>
      </c>
      <c r="U148" s="73"/>
      <c r="V148" s="73"/>
      <c r="W148" s="73"/>
      <c r="X148" s="73"/>
      <c r="Y148" s="73"/>
      <c r="Z148" s="73"/>
      <c r="AA148" s="80"/>
      <c r="AB148" s="73"/>
    </row>
    <row r="149" ht="26.25" customHeight="1" spans="1:28">
      <c r="A149" s="67">
        <f>149-6</f>
        <v>143</v>
      </c>
      <c r="B149" s="68"/>
      <c r="C149" s="68"/>
      <c r="D149" s="68"/>
      <c r="E149" s="68"/>
      <c r="F149" s="68"/>
      <c r="G149" s="68"/>
      <c r="H149" s="68" t="s">
        <v>362</v>
      </c>
      <c r="I149" s="73">
        <f t="shared" si="174"/>
        <v>25</v>
      </c>
      <c r="J149" s="73"/>
      <c r="K149" s="73">
        <v>25</v>
      </c>
      <c r="L149" s="73"/>
      <c r="M149" s="73"/>
      <c r="N149" s="73">
        <f t="shared" si="175"/>
        <v>25</v>
      </c>
      <c r="O149" s="73">
        <v>25</v>
      </c>
      <c r="P149" s="73"/>
      <c r="Q149" s="73"/>
      <c r="R149" s="73"/>
      <c r="S149" s="73"/>
      <c r="T149" s="73">
        <f t="shared" si="176"/>
        <v>0</v>
      </c>
      <c r="U149" s="73"/>
      <c r="V149" s="73"/>
      <c r="W149" s="73"/>
      <c r="X149" s="73"/>
      <c r="Y149" s="73"/>
      <c r="Z149" s="73"/>
      <c r="AA149" s="80"/>
      <c r="AB149" s="73"/>
    </row>
    <row r="150" ht="26.25" customHeight="1" spans="1:28">
      <c r="A150" s="67">
        <f>150-6</f>
        <v>144</v>
      </c>
      <c r="B150" s="68"/>
      <c r="C150" s="68"/>
      <c r="D150" s="68"/>
      <c r="E150" s="68"/>
      <c r="F150" s="68"/>
      <c r="G150" s="68"/>
      <c r="H150" s="68" t="s">
        <v>363</v>
      </c>
      <c r="I150" s="73">
        <f t="shared" si="174"/>
        <v>20</v>
      </c>
      <c r="J150" s="73"/>
      <c r="K150" s="73">
        <v>20</v>
      </c>
      <c r="L150" s="73"/>
      <c r="M150" s="73"/>
      <c r="N150" s="73">
        <f t="shared" si="175"/>
        <v>20</v>
      </c>
      <c r="O150" s="73">
        <v>20</v>
      </c>
      <c r="P150" s="73"/>
      <c r="Q150" s="73"/>
      <c r="R150" s="73"/>
      <c r="S150" s="73"/>
      <c r="T150" s="73">
        <f t="shared" si="176"/>
        <v>0</v>
      </c>
      <c r="U150" s="73"/>
      <c r="V150" s="73"/>
      <c r="W150" s="73"/>
      <c r="X150" s="73"/>
      <c r="Y150" s="73"/>
      <c r="Z150" s="73"/>
      <c r="AA150" s="80"/>
      <c r="AB150" s="73"/>
    </row>
    <row r="151" ht="26.25" customHeight="1" spans="1:28">
      <c r="A151" s="67">
        <f>151-6</f>
        <v>145</v>
      </c>
      <c r="B151" s="68"/>
      <c r="C151" s="68"/>
      <c r="D151" s="68"/>
      <c r="E151" s="68"/>
      <c r="F151" s="68" t="s">
        <v>364</v>
      </c>
      <c r="G151" s="68"/>
      <c r="H151" s="68"/>
      <c r="I151" s="73">
        <f t="shared" si="174"/>
        <v>473</v>
      </c>
      <c r="J151" s="73">
        <f t="shared" ref="J151:M151" si="180">SUM(J152,J156,J161)</f>
        <v>0</v>
      </c>
      <c r="K151" s="73">
        <f t="shared" si="180"/>
        <v>473</v>
      </c>
      <c r="L151" s="73">
        <f t="shared" si="180"/>
        <v>0</v>
      </c>
      <c r="M151" s="73">
        <f t="shared" si="180"/>
        <v>0</v>
      </c>
      <c r="N151" s="73">
        <f t="shared" si="175"/>
        <v>473</v>
      </c>
      <c r="O151" s="73">
        <f t="shared" ref="O151:S151" si="181">SUM(O152,O156,O161)</f>
        <v>473</v>
      </c>
      <c r="P151" s="73">
        <f t="shared" si="181"/>
        <v>0</v>
      </c>
      <c r="Q151" s="73">
        <f t="shared" si="181"/>
        <v>0</v>
      </c>
      <c r="R151" s="73">
        <f t="shared" si="181"/>
        <v>0</v>
      </c>
      <c r="S151" s="73">
        <f t="shared" si="181"/>
        <v>0</v>
      </c>
      <c r="T151" s="73">
        <f t="shared" si="176"/>
        <v>0</v>
      </c>
      <c r="U151" s="73">
        <f t="shared" ref="U151:AA151" si="182">SUM(U152,U156,U161)</f>
        <v>0</v>
      </c>
      <c r="V151" s="73">
        <f t="shared" si="182"/>
        <v>0</v>
      </c>
      <c r="W151" s="73">
        <f t="shared" si="182"/>
        <v>0</v>
      </c>
      <c r="X151" s="73">
        <f t="shared" si="182"/>
        <v>0</v>
      </c>
      <c r="Y151" s="73">
        <f t="shared" si="182"/>
        <v>0</v>
      </c>
      <c r="Z151" s="73">
        <f t="shared" si="182"/>
        <v>0</v>
      </c>
      <c r="AA151" s="80">
        <f t="shared" si="182"/>
        <v>0</v>
      </c>
      <c r="AB151" s="81" t="s">
        <v>245</v>
      </c>
    </row>
    <row r="152" ht="26.25" customHeight="1" spans="1:28">
      <c r="A152" s="67">
        <f>152-6</f>
        <v>146</v>
      </c>
      <c r="B152" s="68"/>
      <c r="C152" s="68"/>
      <c r="D152" s="68"/>
      <c r="E152" s="68"/>
      <c r="F152" s="68"/>
      <c r="G152" s="68" t="s">
        <v>365</v>
      </c>
      <c r="H152" s="68"/>
      <c r="I152" s="73">
        <f t="shared" si="174"/>
        <v>356</v>
      </c>
      <c r="J152" s="73">
        <f t="shared" ref="J152:M152" si="183">SUM(J153:J155)</f>
        <v>0</v>
      </c>
      <c r="K152" s="73">
        <f t="shared" si="183"/>
        <v>356</v>
      </c>
      <c r="L152" s="73">
        <f t="shared" si="183"/>
        <v>0</v>
      </c>
      <c r="M152" s="73">
        <f t="shared" si="183"/>
        <v>0</v>
      </c>
      <c r="N152" s="73">
        <f t="shared" si="175"/>
        <v>356</v>
      </c>
      <c r="O152" s="73">
        <f t="shared" ref="O152:S152" si="184">SUM(O153:O155)</f>
        <v>356</v>
      </c>
      <c r="P152" s="73">
        <f t="shared" si="184"/>
        <v>0</v>
      </c>
      <c r="Q152" s="73">
        <f t="shared" si="184"/>
        <v>0</v>
      </c>
      <c r="R152" s="73">
        <f t="shared" si="184"/>
        <v>0</v>
      </c>
      <c r="S152" s="73">
        <f t="shared" si="184"/>
        <v>0</v>
      </c>
      <c r="T152" s="73">
        <f t="shared" si="176"/>
        <v>0</v>
      </c>
      <c r="U152" s="73">
        <f t="shared" ref="U152:AA152" si="185">SUM(U153:U155)</f>
        <v>0</v>
      </c>
      <c r="V152" s="73">
        <f t="shared" si="185"/>
        <v>0</v>
      </c>
      <c r="W152" s="73">
        <f t="shared" si="185"/>
        <v>0</v>
      </c>
      <c r="X152" s="73">
        <f t="shared" si="185"/>
        <v>0</v>
      </c>
      <c r="Y152" s="73">
        <f t="shared" si="185"/>
        <v>0</v>
      </c>
      <c r="Z152" s="73">
        <f t="shared" si="185"/>
        <v>0</v>
      </c>
      <c r="AA152" s="80">
        <f t="shared" si="185"/>
        <v>0</v>
      </c>
      <c r="AB152" s="73"/>
    </row>
    <row r="153" ht="26.25" customHeight="1" spans="1:28">
      <c r="A153" s="67">
        <f>153-6</f>
        <v>147</v>
      </c>
      <c r="B153" s="68"/>
      <c r="C153" s="68"/>
      <c r="D153" s="68"/>
      <c r="E153" s="68"/>
      <c r="F153" s="68"/>
      <c r="G153" s="68"/>
      <c r="H153" s="68" t="s">
        <v>366</v>
      </c>
      <c r="I153" s="73">
        <f t="shared" si="174"/>
        <v>85</v>
      </c>
      <c r="J153" s="73"/>
      <c r="K153" s="73">
        <v>85</v>
      </c>
      <c r="L153" s="73"/>
      <c r="M153" s="73"/>
      <c r="N153" s="73">
        <f t="shared" si="175"/>
        <v>85</v>
      </c>
      <c r="O153" s="73">
        <v>85</v>
      </c>
      <c r="P153" s="73"/>
      <c r="Q153" s="73"/>
      <c r="R153" s="73"/>
      <c r="S153" s="73"/>
      <c r="T153" s="73">
        <f t="shared" si="176"/>
        <v>0</v>
      </c>
      <c r="U153" s="73"/>
      <c r="V153" s="73"/>
      <c r="W153" s="73"/>
      <c r="X153" s="73"/>
      <c r="Y153" s="73"/>
      <c r="Z153" s="73"/>
      <c r="AA153" s="80"/>
      <c r="AB153" s="73"/>
    </row>
    <row r="154" ht="26.25" customHeight="1" spans="1:28">
      <c r="A154" s="67">
        <f>154-6</f>
        <v>148</v>
      </c>
      <c r="B154" s="68"/>
      <c r="C154" s="68"/>
      <c r="D154" s="68"/>
      <c r="E154" s="68"/>
      <c r="F154" s="68"/>
      <c r="G154" s="68"/>
      <c r="H154" s="68" t="s">
        <v>367</v>
      </c>
      <c r="I154" s="73">
        <f t="shared" si="174"/>
        <v>210</v>
      </c>
      <c r="J154" s="73"/>
      <c r="K154" s="73">
        <v>210</v>
      </c>
      <c r="L154" s="73"/>
      <c r="M154" s="73"/>
      <c r="N154" s="73">
        <f t="shared" si="175"/>
        <v>210</v>
      </c>
      <c r="O154" s="73">
        <v>210</v>
      </c>
      <c r="P154" s="73"/>
      <c r="Q154" s="73"/>
      <c r="R154" s="73"/>
      <c r="S154" s="73"/>
      <c r="T154" s="73">
        <f t="shared" si="176"/>
        <v>0</v>
      </c>
      <c r="U154" s="73"/>
      <c r="V154" s="73"/>
      <c r="W154" s="73"/>
      <c r="X154" s="73"/>
      <c r="Y154" s="73"/>
      <c r="Z154" s="73"/>
      <c r="AA154" s="80"/>
      <c r="AB154" s="73"/>
    </row>
    <row r="155" ht="26.25" customHeight="1" spans="1:28">
      <c r="A155" s="67">
        <f>155-6</f>
        <v>149</v>
      </c>
      <c r="B155" s="68"/>
      <c r="C155" s="68"/>
      <c r="D155" s="68"/>
      <c r="E155" s="68"/>
      <c r="F155" s="68"/>
      <c r="G155" s="68"/>
      <c r="H155" s="68" t="s">
        <v>368</v>
      </c>
      <c r="I155" s="73">
        <f t="shared" si="174"/>
        <v>61</v>
      </c>
      <c r="J155" s="73"/>
      <c r="K155" s="73">
        <v>61</v>
      </c>
      <c r="L155" s="73"/>
      <c r="M155" s="73"/>
      <c r="N155" s="73">
        <f t="shared" si="175"/>
        <v>61</v>
      </c>
      <c r="O155" s="73">
        <v>61</v>
      </c>
      <c r="P155" s="73"/>
      <c r="Q155" s="73"/>
      <c r="R155" s="73"/>
      <c r="S155" s="73"/>
      <c r="T155" s="73">
        <f t="shared" si="176"/>
        <v>0</v>
      </c>
      <c r="U155" s="73"/>
      <c r="V155" s="73"/>
      <c r="W155" s="73"/>
      <c r="X155" s="73"/>
      <c r="Y155" s="73"/>
      <c r="Z155" s="73"/>
      <c r="AA155" s="80"/>
      <c r="AB155" s="73"/>
    </row>
    <row r="156" ht="26.25" customHeight="1" spans="1:28">
      <c r="A156" s="67">
        <f>156-6</f>
        <v>150</v>
      </c>
      <c r="B156" s="68"/>
      <c r="C156" s="68"/>
      <c r="D156" s="68"/>
      <c r="E156" s="68"/>
      <c r="F156" s="68"/>
      <c r="G156" s="68" t="s">
        <v>369</v>
      </c>
      <c r="H156" s="68"/>
      <c r="I156" s="73">
        <f t="shared" si="174"/>
        <v>107</v>
      </c>
      <c r="J156" s="73">
        <f t="shared" ref="J156:M156" si="186">SUM(J157:J160)</f>
        <v>0</v>
      </c>
      <c r="K156" s="73">
        <f t="shared" si="186"/>
        <v>107</v>
      </c>
      <c r="L156" s="73">
        <f t="shared" si="186"/>
        <v>0</v>
      </c>
      <c r="M156" s="73">
        <f t="shared" si="186"/>
        <v>0</v>
      </c>
      <c r="N156" s="73">
        <f t="shared" si="175"/>
        <v>107</v>
      </c>
      <c r="O156" s="73">
        <f t="shared" ref="O156:S156" si="187">SUM(O157:O160)</f>
        <v>107</v>
      </c>
      <c r="P156" s="73">
        <f t="shared" si="187"/>
        <v>0</v>
      </c>
      <c r="Q156" s="73">
        <f t="shared" si="187"/>
        <v>0</v>
      </c>
      <c r="R156" s="73">
        <f t="shared" si="187"/>
        <v>0</v>
      </c>
      <c r="S156" s="73">
        <f t="shared" si="187"/>
        <v>0</v>
      </c>
      <c r="T156" s="73">
        <f t="shared" si="176"/>
        <v>0</v>
      </c>
      <c r="U156" s="73">
        <f t="shared" ref="U156:AA156" si="188">SUM(U157:U160)</f>
        <v>0</v>
      </c>
      <c r="V156" s="73">
        <f t="shared" si="188"/>
        <v>0</v>
      </c>
      <c r="W156" s="73">
        <f t="shared" si="188"/>
        <v>0</v>
      </c>
      <c r="X156" s="73">
        <f t="shared" si="188"/>
        <v>0</v>
      </c>
      <c r="Y156" s="73">
        <f t="shared" si="188"/>
        <v>0</v>
      </c>
      <c r="Z156" s="73">
        <f t="shared" si="188"/>
        <v>0</v>
      </c>
      <c r="AA156" s="80">
        <f t="shared" si="188"/>
        <v>0</v>
      </c>
      <c r="AB156" s="73"/>
    </row>
    <row r="157" ht="26.25" customHeight="1" spans="1:28">
      <c r="A157" s="67">
        <f>157-6</f>
        <v>151</v>
      </c>
      <c r="B157" s="68"/>
      <c r="C157" s="68"/>
      <c r="D157" s="68"/>
      <c r="E157" s="68"/>
      <c r="F157" s="68"/>
      <c r="G157" s="68"/>
      <c r="H157" s="68" t="s">
        <v>370</v>
      </c>
      <c r="I157" s="73">
        <f t="shared" si="174"/>
        <v>71</v>
      </c>
      <c r="J157" s="73"/>
      <c r="K157" s="73">
        <v>71</v>
      </c>
      <c r="L157" s="73"/>
      <c r="M157" s="73"/>
      <c r="N157" s="73">
        <f t="shared" si="175"/>
        <v>71</v>
      </c>
      <c r="O157" s="73">
        <v>71</v>
      </c>
      <c r="P157" s="73"/>
      <c r="Q157" s="73"/>
      <c r="R157" s="73"/>
      <c r="S157" s="73"/>
      <c r="T157" s="73">
        <f t="shared" si="176"/>
        <v>0</v>
      </c>
      <c r="U157" s="73"/>
      <c r="V157" s="73"/>
      <c r="W157" s="73"/>
      <c r="X157" s="73"/>
      <c r="Y157" s="73"/>
      <c r="Z157" s="73"/>
      <c r="AA157" s="80"/>
      <c r="AB157" s="73"/>
    </row>
    <row r="158" ht="26.25" customHeight="1" spans="1:28">
      <c r="A158" s="67">
        <f>158-6</f>
        <v>152</v>
      </c>
      <c r="B158" s="68"/>
      <c r="C158" s="68"/>
      <c r="D158" s="68"/>
      <c r="E158" s="68"/>
      <c r="F158" s="68"/>
      <c r="G158" s="68"/>
      <c r="H158" s="68" t="s">
        <v>371</v>
      </c>
      <c r="I158" s="73">
        <f t="shared" si="174"/>
        <v>18</v>
      </c>
      <c r="J158" s="73"/>
      <c r="K158" s="73">
        <v>18</v>
      </c>
      <c r="L158" s="73"/>
      <c r="M158" s="73"/>
      <c r="N158" s="73">
        <f t="shared" si="175"/>
        <v>18</v>
      </c>
      <c r="O158" s="73">
        <v>18</v>
      </c>
      <c r="P158" s="73"/>
      <c r="Q158" s="73"/>
      <c r="R158" s="73"/>
      <c r="S158" s="73"/>
      <c r="T158" s="73">
        <f t="shared" si="176"/>
        <v>0</v>
      </c>
      <c r="U158" s="73"/>
      <c r="V158" s="73"/>
      <c r="W158" s="73"/>
      <c r="X158" s="73"/>
      <c r="Y158" s="73"/>
      <c r="Z158" s="73"/>
      <c r="AA158" s="80"/>
      <c r="AB158" s="73"/>
    </row>
    <row r="159" ht="26.25" customHeight="1" spans="1:28">
      <c r="A159" s="67">
        <f>159-6</f>
        <v>153</v>
      </c>
      <c r="B159" s="68"/>
      <c r="C159" s="68"/>
      <c r="D159" s="68"/>
      <c r="E159" s="68"/>
      <c r="F159" s="68"/>
      <c r="G159" s="68"/>
      <c r="H159" s="68" t="s">
        <v>372</v>
      </c>
      <c r="I159" s="73">
        <f t="shared" si="174"/>
        <v>10</v>
      </c>
      <c r="J159" s="73"/>
      <c r="K159" s="73">
        <v>10</v>
      </c>
      <c r="L159" s="73"/>
      <c r="M159" s="73"/>
      <c r="N159" s="73">
        <f t="shared" si="175"/>
        <v>10</v>
      </c>
      <c r="O159" s="73">
        <v>10</v>
      </c>
      <c r="P159" s="73"/>
      <c r="Q159" s="73"/>
      <c r="R159" s="73"/>
      <c r="S159" s="73"/>
      <c r="T159" s="73">
        <f t="shared" si="176"/>
        <v>0</v>
      </c>
      <c r="U159" s="73"/>
      <c r="V159" s="73"/>
      <c r="W159" s="73"/>
      <c r="X159" s="73"/>
      <c r="Y159" s="73"/>
      <c r="Z159" s="73"/>
      <c r="AA159" s="80"/>
      <c r="AB159" s="73"/>
    </row>
    <row r="160" ht="26.25" customHeight="1" spans="1:28">
      <c r="A160" s="67">
        <f>160-6</f>
        <v>154</v>
      </c>
      <c r="B160" s="68"/>
      <c r="C160" s="68"/>
      <c r="D160" s="68"/>
      <c r="E160" s="68"/>
      <c r="F160" s="68"/>
      <c r="G160" s="68"/>
      <c r="H160" s="68" t="s">
        <v>373</v>
      </c>
      <c r="I160" s="73">
        <f t="shared" si="174"/>
        <v>8</v>
      </c>
      <c r="J160" s="73"/>
      <c r="K160" s="73">
        <v>8</v>
      </c>
      <c r="L160" s="73"/>
      <c r="M160" s="73"/>
      <c r="N160" s="73">
        <f t="shared" si="175"/>
        <v>8</v>
      </c>
      <c r="O160" s="73">
        <v>8</v>
      </c>
      <c r="P160" s="73"/>
      <c r="Q160" s="73"/>
      <c r="R160" s="73"/>
      <c r="S160" s="73"/>
      <c r="T160" s="73">
        <f t="shared" si="176"/>
        <v>0</v>
      </c>
      <c r="U160" s="73"/>
      <c r="V160" s="73"/>
      <c r="W160" s="73"/>
      <c r="X160" s="73"/>
      <c r="Y160" s="73"/>
      <c r="Z160" s="73"/>
      <c r="AA160" s="80"/>
      <c r="AB160" s="73"/>
    </row>
    <row r="161" ht="26.25" customHeight="1" spans="1:28">
      <c r="A161" s="67">
        <f>161-6</f>
        <v>155</v>
      </c>
      <c r="B161" s="68"/>
      <c r="C161" s="68"/>
      <c r="D161" s="68"/>
      <c r="E161" s="68"/>
      <c r="F161" s="68"/>
      <c r="G161" s="68" t="s">
        <v>374</v>
      </c>
      <c r="H161" s="68"/>
      <c r="I161" s="73">
        <f t="shared" si="174"/>
        <v>10</v>
      </c>
      <c r="J161" s="73">
        <f t="shared" ref="J161:M161" si="189">SUM(J162)</f>
        <v>0</v>
      </c>
      <c r="K161" s="73">
        <f t="shared" si="189"/>
        <v>10</v>
      </c>
      <c r="L161" s="73">
        <f t="shared" si="189"/>
        <v>0</v>
      </c>
      <c r="M161" s="73">
        <f t="shared" si="189"/>
        <v>0</v>
      </c>
      <c r="N161" s="73">
        <f t="shared" si="175"/>
        <v>10</v>
      </c>
      <c r="O161" s="73">
        <f t="shared" ref="O161:S161" si="190">SUM(O162)</f>
        <v>10</v>
      </c>
      <c r="P161" s="73">
        <f t="shared" si="190"/>
        <v>0</v>
      </c>
      <c r="Q161" s="73">
        <f t="shared" si="190"/>
        <v>0</v>
      </c>
      <c r="R161" s="73">
        <f t="shared" si="190"/>
        <v>0</v>
      </c>
      <c r="S161" s="73">
        <f t="shared" si="190"/>
        <v>0</v>
      </c>
      <c r="T161" s="73">
        <f t="shared" si="176"/>
        <v>0</v>
      </c>
      <c r="U161" s="73">
        <f t="shared" ref="U161:AA161" si="191">SUM(U162)</f>
        <v>0</v>
      </c>
      <c r="V161" s="73">
        <f t="shared" si="191"/>
        <v>0</v>
      </c>
      <c r="W161" s="73">
        <f t="shared" si="191"/>
        <v>0</v>
      </c>
      <c r="X161" s="73">
        <f t="shared" si="191"/>
        <v>0</v>
      </c>
      <c r="Y161" s="73">
        <f t="shared" si="191"/>
        <v>0</v>
      </c>
      <c r="Z161" s="73">
        <f t="shared" si="191"/>
        <v>0</v>
      </c>
      <c r="AA161" s="80">
        <f t="shared" si="191"/>
        <v>0</v>
      </c>
      <c r="AB161" s="73"/>
    </row>
    <row r="162" ht="26.25" customHeight="1" spans="1:28">
      <c r="A162" s="67">
        <f>162-6</f>
        <v>156</v>
      </c>
      <c r="B162" s="68"/>
      <c r="C162" s="68"/>
      <c r="D162" s="68"/>
      <c r="E162" s="68"/>
      <c r="F162" s="68"/>
      <c r="G162" s="68"/>
      <c r="H162" s="68" t="s">
        <v>375</v>
      </c>
      <c r="I162" s="73">
        <f t="shared" si="174"/>
        <v>10</v>
      </c>
      <c r="J162" s="73"/>
      <c r="K162" s="73">
        <v>10</v>
      </c>
      <c r="L162" s="73"/>
      <c r="M162" s="73"/>
      <c r="N162" s="73">
        <f t="shared" si="175"/>
        <v>10</v>
      </c>
      <c r="O162" s="73">
        <v>10</v>
      </c>
      <c r="P162" s="73"/>
      <c r="Q162" s="73"/>
      <c r="R162" s="73"/>
      <c r="S162" s="73"/>
      <c r="T162" s="73">
        <f t="shared" si="176"/>
        <v>0</v>
      </c>
      <c r="U162" s="73"/>
      <c r="V162" s="73"/>
      <c r="W162" s="73"/>
      <c r="X162" s="73"/>
      <c r="Y162" s="73"/>
      <c r="Z162" s="73"/>
      <c r="AA162" s="80"/>
      <c r="AB162" s="73"/>
    </row>
    <row r="163" ht="26.25" customHeight="1" spans="1:28">
      <c r="A163" s="67">
        <f>163-6</f>
        <v>157</v>
      </c>
      <c r="B163" s="68"/>
      <c r="C163" s="68"/>
      <c r="D163" s="68"/>
      <c r="E163" s="68"/>
      <c r="F163" s="68" t="s">
        <v>376</v>
      </c>
      <c r="G163" s="68"/>
      <c r="H163" s="68"/>
      <c r="I163" s="73">
        <f t="shared" si="174"/>
        <v>1226.22</v>
      </c>
      <c r="J163" s="73">
        <f t="shared" ref="J163:M163" si="192">SUM(J164)</f>
        <v>0</v>
      </c>
      <c r="K163" s="73">
        <f t="shared" si="192"/>
        <v>1226.22</v>
      </c>
      <c r="L163" s="73">
        <f t="shared" si="192"/>
        <v>0</v>
      </c>
      <c r="M163" s="73">
        <f t="shared" si="192"/>
        <v>0</v>
      </c>
      <c r="N163" s="73">
        <f t="shared" si="175"/>
        <v>1226.22</v>
      </c>
      <c r="O163" s="73">
        <f t="shared" ref="O163:S163" si="193">SUM(O164)</f>
        <v>1226.22</v>
      </c>
      <c r="P163" s="73">
        <f t="shared" si="193"/>
        <v>0</v>
      </c>
      <c r="Q163" s="73">
        <f t="shared" si="193"/>
        <v>0</v>
      </c>
      <c r="R163" s="73">
        <f t="shared" si="193"/>
        <v>0</v>
      </c>
      <c r="S163" s="73">
        <f t="shared" si="193"/>
        <v>0</v>
      </c>
      <c r="T163" s="73">
        <f t="shared" si="176"/>
        <v>0</v>
      </c>
      <c r="U163" s="73">
        <f t="shared" ref="U163:AA163" si="194">SUM(U164)</f>
        <v>0</v>
      </c>
      <c r="V163" s="73">
        <f t="shared" si="194"/>
        <v>0</v>
      </c>
      <c r="W163" s="73">
        <f t="shared" si="194"/>
        <v>0</v>
      </c>
      <c r="X163" s="73">
        <f t="shared" si="194"/>
        <v>0</v>
      </c>
      <c r="Y163" s="73">
        <f t="shared" si="194"/>
        <v>0</v>
      </c>
      <c r="Z163" s="73">
        <f t="shared" si="194"/>
        <v>0</v>
      </c>
      <c r="AA163" s="80">
        <f t="shared" si="194"/>
        <v>1099.76</v>
      </c>
      <c r="AB163" s="81" t="s">
        <v>245</v>
      </c>
    </row>
    <row r="164" ht="26.25" customHeight="1" spans="1:28">
      <c r="A164" s="67">
        <f>164-6</f>
        <v>158</v>
      </c>
      <c r="B164" s="68"/>
      <c r="C164" s="68"/>
      <c r="D164" s="68"/>
      <c r="E164" s="68"/>
      <c r="F164" s="68"/>
      <c r="G164" s="68" t="s">
        <v>377</v>
      </c>
      <c r="H164" s="68"/>
      <c r="I164" s="73">
        <f t="shared" si="174"/>
        <v>1226.22</v>
      </c>
      <c r="J164" s="73">
        <f t="shared" ref="J164:M164" si="195">SUM(J165:J171)</f>
        <v>0</v>
      </c>
      <c r="K164" s="73">
        <f t="shared" si="195"/>
        <v>1226.22</v>
      </c>
      <c r="L164" s="73">
        <f t="shared" si="195"/>
        <v>0</v>
      </c>
      <c r="M164" s="73">
        <f t="shared" si="195"/>
        <v>0</v>
      </c>
      <c r="N164" s="73">
        <f t="shared" si="175"/>
        <v>1226.22</v>
      </c>
      <c r="O164" s="73">
        <f t="shared" ref="O164:S164" si="196">SUM(O165:O171)</f>
        <v>1226.22</v>
      </c>
      <c r="P164" s="73">
        <f t="shared" si="196"/>
        <v>0</v>
      </c>
      <c r="Q164" s="73">
        <f t="shared" si="196"/>
        <v>0</v>
      </c>
      <c r="R164" s="73">
        <f t="shared" si="196"/>
        <v>0</v>
      </c>
      <c r="S164" s="73">
        <f t="shared" si="196"/>
        <v>0</v>
      </c>
      <c r="T164" s="73">
        <f t="shared" si="176"/>
        <v>0</v>
      </c>
      <c r="U164" s="73">
        <f t="shared" ref="U164:AA164" si="197">SUM(U165:U171)</f>
        <v>0</v>
      </c>
      <c r="V164" s="73">
        <f t="shared" si="197"/>
        <v>0</v>
      </c>
      <c r="W164" s="73">
        <f t="shared" si="197"/>
        <v>0</v>
      </c>
      <c r="X164" s="73">
        <f t="shared" si="197"/>
        <v>0</v>
      </c>
      <c r="Y164" s="73">
        <f t="shared" si="197"/>
        <v>0</v>
      </c>
      <c r="Z164" s="73">
        <f t="shared" si="197"/>
        <v>0</v>
      </c>
      <c r="AA164" s="80">
        <f t="shared" si="197"/>
        <v>1099.76</v>
      </c>
      <c r="AB164" s="73"/>
    </row>
    <row r="165" ht="26.25" customHeight="1" spans="1:28">
      <c r="A165" s="67">
        <f>165-6</f>
        <v>159</v>
      </c>
      <c r="B165" s="68"/>
      <c r="C165" s="68"/>
      <c r="D165" s="68"/>
      <c r="E165" s="68"/>
      <c r="F165" s="68"/>
      <c r="G165" s="68"/>
      <c r="H165" s="68" t="s">
        <v>378</v>
      </c>
      <c r="I165" s="73">
        <f t="shared" si="174"/>
        <v>202</v>
      </c>
      <c r="J165" s="73"/>
      <c r="K165" s="73">
        <v>202</v>
      </c>
      <c r="L165" s="73"/>
      <c r="M165" s="73"/>
      <c r="N165" s="73">
        <f t="shared" si="175"/>
        <v>202</v>
      </c>
      <c r="O165" s="73">
        <v>202</v>
      </c>
      <c r="P165" s="73"/>
      <c r="Q165" s="73"/>
      <c r="R165" s="73"/>
      <c r="S165" s="73"/>
      <c r="T165" s="73">
        <f t="shared" si="176"/>
        <v>0</v>
      </c>
      <c r="U165" s="73"/>
      <c r="V165" s="73"/>
      <c r="W165" s="73"/>
      <c r="X165" s="73"/>
      <c r="Y165" s="73"/>
      <c r="Z165" s="73"/>
      <c r="AA165" s="80">
        <v>202</v>
      </c>
      <c r="AB165" s="73"/>
    </row>
    <row r="166" ht="26.25" customHeight="1" spans="1:28">
      <c r="A166" s="67">
        <f>166-6</f>
        <v>160</v>
      </c>
      <c r="B166" s="68"/>
      <c r="C166" s="68"/>
      <c r="D166" s="68"/>
      <c r="E166" s="68"/>
      <c r="F166" s="68"/>
      <c r="G166" s="68"/>
      <c r="H166" s="68" t="s">
        <v>379</v>
      </c>
      <c r="I166" s="73">
        <f t="shared" si="174"/>
        <v>187.2</v>
      </c>
      <c r="J166" s="73"/>
      <c r="K166" s="73">
        <v>187.2</v>
      </c>
      <c r="L166" s="73"/>
      <c r="M166" s="73"/>
      <c r="N166" s="73">
        <f t="shared" si="175"/>
        <v>187.2</v>
      </c>
      <c r="O166" s="73">
        <v>187.2</v>
      </c>
      <c r="P166" s="73"/>
      <c r="Q166" s="73"/>
      <c r="R166" s="73"/>
      <c r="S166" s="73"/>
      <c r="T166" s="73">
        <f t="shared" si="176"/>
        <v>0</v>
      </c>
      <c r="U166" s="73"/>
      <c r="V166" s="73"/>
      <c r="W166" s="73"/>
      <c r="X166" s="73"/>
      <c r="Y166" s="73"/>
      <c r="Z166" s="73"/>
      <c r="AA166" s="80">
        <v>187.2</v>
      </c>
      <c r="AB166" s="73"/>
    </row>
    <row r="167" ht="26.25" customHeight="1" spans="1:28">
      <c r="A167" s="67">
        <f>167-6</f>
        <v>161</v>
      </c>
      <c r="B167" s="68"/>
      <c r="C167" s="68"/>
      <c r="D167" s="68"/>
      <c r="E167" s="68"/>
      <c r="F167" s="68"/>
      <c r="G167" s="68"/>
      <c r="H167" s="68" t="s">
        <v>380</v>
      </c>
      <c r="I167" s="73">
        <f t="shared" si="174"/>
        <v>331.2</v>
      </c>
      <c r="J167" s="73"/>
      <c r="K167" s="73">
        <v>331.2</v>
      </c>
      <c r="L167" s="73"/>
      <c r="M167" s="73"/>
      <c r="N167" s="73">
        <f t="shared" si="175"/>
        <v>331.2</v>
      </c>
      <c r="O167" s="73">
        <v>331.2</v>
      </c>
      <c r="P167" s="73"/>
      <c r="Q167" s="73"/>
      <c r="R167" s="73"/>
      <c r="S167" s="73"/>
      <c r="T167" s="73">
        <f t="shared" si="176"/>
        <v>0</v>
      </c>
      <c r="U167" s="73"/>
      <c r="V167" s="73"/>
      <c r="W167" s="73"/>
      <c r="X167" s="73"/>
      <c r="Y167" s="73"/>
      <c r="Z167" s="73"/>
      <c r="AA167" s="80">
        <v>331.2</v>
      </c>
      <c r="AB167" s="73"/>
    </row>
    <row r="168" ht="26.25" customHeight="1" spans="1:28">
      <c r="A168" s="67">
        <f>168-6</f>
        <v>162</v>
      </c>
      <c r="B168" s="68"/>
      <c r="C168" s="68"/>
      <c r="D168" s="68"/>
      <c r="E168" s="68"/>
      <c r="F168" s="68"/>
      <c r="G168" s="68"/>
      <c r="H168" s="68" t="s">
        <v>381</v>
      </c>
      <c r="I168" s="73">
        <f t="shared" si="174"/>
        <v>100.71</v>
      </c>
      <c r="J168" s="73"/>
      <c r="K168" s="73">
        <v>100.71</v>
      </c>
      <c r="L168" s="73"/>
      <c r="M168" s="73"/>
      <c r="N168" s="73">
        <f t="shared" si="175"/>
        <v>100.71</v>
      </c>
      <c r="O168" s="73">
        <v>100.71</v>
      </c>
      <c r="P168" s="73"/>
      <c r="Q168" s="73"/>
      <c r="R168" s="73"/>
      <c r="S168" s="73"/>
      <c r="T168" s="73">
        <f t="shared" si="176"/>
        <v>0</v>
      </c>
      <c r="U168" s="73"/>
      <c r="V168" s="73"/>
      <c r="W168" s="73"/>
      <c r="X168" s="73"/>
      <c r="Y168" s="73"/>
      <c r="Z168" s="73"/>
      <c r="AA168" s="80"/>
      <c r="AB168" s="73"/>
    </row>
    <row r="169" ht="26.25" customHeight="1" spans="1:28">
      <c r="A169" s="67">
        <f>169-6</f>
        <v>163</v>
      </c>
      <c r="B169" s="68"/>
      <c r="C169" s="68"/>
      <c r="D169" s="68"/>
      <c r="E169" s="68"/>
      <c r="F169" s="68"/>
      <c r="G169" s="68"/>
      <c r="H169" s="68" t="s">
        <v>382</v>
      </c>
      <c r="I169" s="73">
        <f t="shared" si="174"/>
        <v>302.11</v>
      </c>
      <c r="J169" s="73"/>
      <c r="K169" s="73">
        <v>302.11</v>
      </c>
      <c r="L169" s="73"/>
      <c r="M169" s="73"/>
      <c r="N169" s="73">
        <f t="shared" si="175"/>
        <v>302.11</v>
      </c>
      <c r="O169" s="73">
        <v>302.11</v>
      </c>
      <c r="P169" s="73"/>
      <c r="Q169" s="73"/>
      <c r="R169" s="73"/>
      <c r="S169" s="73"/>
      <c r="T169" s="73">
        <f t="shared" si="176"/>
        <v>0</v>
      </c>
      <c r="U169" s="73"/>
      <c r="V169" s="73"/>
      <c r="W169" s="73"/>
      <c r="X169" s="73"/>
      <c r="Y169" s="73"/>
      <c r="Z169" s="73"/>
      <c r="AA169" s="80">
        <v>302.11</v>
      </c>
      <c r="AB169" s="73"/>
    </row>
    <row r="170" ht="26.25" customHeight="1" spans="1:28">
      <c r="A170" s="67">
        <f>170-6</f>
        <v>164</v>
      </c>
      <c r="B170" s="68"/>
      <c r="C170" s="68"/>
      <c r="D170" s="68"/>
      <c r="E170" s="68"/>
      <c r="F170" s="68"/>
      <c r="G170" s="68"/>
      <c r="H170" s="68" t="s">
        <v>383</v>
      </c>
      <c r="I170" s="73">
        <f t="shared" si="174"/>
        <v>25.75</v>
      </c>
      <c r="J170" s="73"/>
      <c r="K170" s="73">
        <v>25.75</v>
      </c>
      <c r="L170" s="73"/>
      <c r="M170" s="73"/>
      <c r="N170" s="73">
        <f t="shared" si="175"/>
        <v>25.75</v>
      </c>
      <c r="O170" s="73">
        <v>25.75</v>
      </c>
      <c r="P170" s="73"/>
      <c r="Q170" s="73"/>
      <c r="R170" s="73"/>
      <c r="S170" s="73"/>
      <c r="T170" s="73">
        <f t="shared" si="176"/>
        <v>0</v>
      </c>
      <c r="U170" s="73"/>
      <c r="V170" s="73"/>
      <c r="W170" s="73"/>
      <c r="X170" s="73"/>
      <c r="Y170" s="73"/>
      <c r="Z170" s="73"/>
      <c r="AA170" s="80"/>
      <c r="AB170" s="73"/>
    </row>
    <row r="171" ht="26.25" customHeight="1" spans="1:28">
      <c r="A171" s="67">
        <f>171-6</f>
        <v>165</v>
      </c>
      <c r="B171" s="68"/>
      <c r="C171" s="68"/>
      <c r="D171" s="68"/>
      <c r="E171" s="68"/>
      <c r="F171" s="68"/>
      <c r="G171" s="68"/>
      <c r="H171" s="68" t="s">
        <v>384</v>
      </c>
      <c r="I171" s="73">
        <f t="shared" si="174"/>
        <v>77.25</v>
      </c>
      <c r="J171" s="73"/>
      <c r="K171" s="73">
        <v>77.25</v>
      </c>
      <c r="L171" s="73"/>
      <c r="M171" s="73"/>
      <c r="N171" s="73">
        <f t="shared" si="175"/>
        <v>77.25</v>
      </c>
      <c r="O171" s="73">
        <v>77.25</v>
      </c>
      <c r="P171" s="73"/>
      <c r="Q171" s="73"/>
      <c r="R171" s="73"/>
      <c r="S171" s="73"/>
      <c r="T171" s="73">
        <f t="shared" si="176"/>
        <v>0</v>
      </c>
      <c r="U171" s="73"/>
      <c r="V171" s="73"/>
      <c r="W171" s="73"/>
      <c r="X171" s="73"/>
      <c r="Y171" s="73"/>
      <c r="Z171" s="73"/>
      <c r="AA171" s="80">
        <v>77.25</v>
      </c>
      <c r="AB171" s="73"/>
    </row>
    <row r="172" ht="26.25" customHeight="1" spans="1:28">
      <c r="A172" s="67">
        <f>172-6</f>
        <v>166</v>
      </c>
      <c r="B172" s="68"/>
      <c r="C172" s="68"/>
      <c r="D172" s="68"/>
      <c r="E172" s="68"/>
      <c r="F172" s="68" t="s">
        <v>385</v>
      </c>
      <c r="G172" s="68"/>
      <c r="H172" s="68"/>
      <c r="I172" s="73">
        <f t="shared" si="174"/>
        <v>360</v>
      </c>
      <c r="J172" s="73">
        <f t="shared" ref="J172:M172" si="198">SUM(J173)</f>
        <v>0</v>
      </c>
      <c r="K172" s="73">
        <f t="shared" si="198"/>
        <v>360</v>
      </c>
      <c r="L172" s="73">
        <f t="shared" si="198"/>
        <v>0</v>
      </c>
      <c r="M172" s="73">
        <f t="shared" si="198"/>
        <v>0</v>
      </c>
      <c r="N172" s="73">
        <f t="shared" si="175"/>
        <v>360</v>
      </c>
      <c r="O172" s="73">
        <f t="shared" ref="O172:S172" si="199">SUM(O173)</f>
        <v>360</v>
      </c>
      <c r="P172" s="73">
        <f t="shared" si="199"/>
        <v>0</v>
      </c>
      <c r="Q172" s="73">
        <f t="shared" si="199"/>
        <v>0</v>
      </c>
      <c r="R172" s="73">
        <f t="shared" si="199"/>
        <v>0</v>
      </c>
      <c r="S172" s="73">
        <f t="shared" si="199"/>
        <v>0</v>
      </c>
      <c r="T172" s="73">
        <f t="shared" si="176"/>
        <v>0</v>
      </c>
      <c r="U172" s="73">
        <f t="shared" ref="U172:AA172" si="200">SUM(U173)</f>
        <v>0</v>
      </c>
      <c r="V172" s="73">
        <f t="shared" si="200"/>
        <v>0</v>
      </c>
      <c r="W172" s="73">
        <f t="shared" si="200"/>
        <v>0</v>
      </c>
      <c r="X172" s="73">
        <f t="shared" si="200"/>
        <v>0</v>
      </c>
      <c r="Y172" s="73">
        <f t="shared" si="200"/>
        <v>0</v>
      </c>
      <c r="Z172" s="73">
        <f t="shared" si="200"/>
        <v>0</v>
      </c>
      <c r="AA172" s="80">
        <f t="shared" si="200"/>
        <v>0</v>
      </c>
      <c r="AB172" s="81" t="s">
        <v>245</v>
      </c>
    </row>
    <row r="173" ht="26.25" customHeight="1" spans="1:28">
      <c r="A173" s="67">
        <f>173-6</f>
        <v>167</v>
      </c>
      <c r="B173" s="68"/>
      <c r="C173" s="68"/>
      <c r="D173" s="68"/>
      <c r="E173" s="68"/>
      <c r="F173" s="68"/>
      <c r="G173" s="68" t="s">
        <v>385</v>
      </c>
      <c r="H173" s="68"/>
      <c r="I173" s="73">
        <f t="shared" si="174"/>
        <v>360</v>
      </c>
      <c r="J173" s="73">
        <f t="shared" ref="J173:M173" si="201">SUM(J174)</f>
        <v>0</v>
      </c>
      <c r="K173" s="73">
        <f t="shared" si="201"/>
        <v>360</v>
      </c>
      <c r="L173" s="73">
        <f t="shared" si="201"/>
        <v>0</v>
      </c>
      <c r="M173" s="73">
        <f t="shared" si="201"/>
        <v>0</v>
      </c>
      <c r="N173" s="73">
        <f t="shared" si="175"/>
        <v>360</v>
      </c>
      <c r="O173" s="73">
        <f t="shared" ref="O173:S173" si="202">SUM(O174)</f>
        <v>360</v>
      </c>
      <c r="P173" s="73">
        <f t="shared" si="202"/>
        <v>0</v>
      </c>
      <c r="Q173" s="73">
        <f t="shared" si="202"/>
        <v>0</v>
      </c>
      <c r="R173" s="73">
        <f t="shared" si="202"/>
        <v>0</v>
      </c>
      <c r="S173" s="73">
        <f t="shared" si="202"/>
        <v>0</v>
      </c>
      <c r="T173" s="73">
        <f t="shared" si="176"/>
        <v>0</v>
      </c>
      <c r="U173" s="73">
        <f t="shared" ref="U173:AA173" si="203">SUM(U174)</f>
        <v>0</v>
      </c>
      <c r="V173" s="73">
        <f t="shared" si="203"/>
        <v>0</v>
      </c>
      <c r="W173" s="73">
        <f t="shared" si="203"/>
        <v>0</v>
      </c>
      <c r="X173" s="73">
        <f t="shared" si="203"/>
        <v>0</v>
      </c>
      <c r="Y173" s="73">
        <f t="shared" si="203"/>
        <v>0</v>
      </c>
      <c r="Z173" s="73">
        <f t="shared" si="203"/>
        <v>0</v>
      </c>
      <c r="AA173" s="80">
        <f t="shared" si="203"/>
        <v>0</v>
      </c>
      <c r="AB173" s="73"/>
    </row>
    <row r="174" ht="26.25" customHeight="1" spans="1:28">
      <c r="A174" s="67">
        <f>174-6</f>
        <v>168</v>
      </c>
      <c r="B174" s="68"/>
      <c r="C174" s="68"/>
      <c r="D174" s="68"/>
      <c r="E174" s="68"/>
      <c r="F174" s="68"/>
      <c r="G174" s="68"/>
      <c r="H174" s="68" t="s">
        <v>386</v>
      </c>
      <c r="I174" s="73">
        <f t="shared" si="174"/>
        <v>360</v>
      </c>
      <c r="J174" s="73"/>
      <c r="K174" s="73">
        <v>360</v>
      </c>
      <c r="L174" s="73"/>
      <c r="M174" s="73"/>
      <c r="N174" s="73">
        <f t="shared" si="175"/>
        <v>360</v>
      </c>
      <c r="O174" s="73">
        <v>360</v>
      </c>
      <c r="P174" s="73"/>
      <c r="Q174" s="73"/>
      <c r="R174" s="73"/>
      <c r="S174" s="73"/>
      <c r="T174" s="73">
        <f t="shared" si="176"/>
        <v>0</v>
      </c>
      <c r="U174" s="73"/>
      <c r="V174" s="73"/>
      <c r="W174" s="73"/>
      <c r="X174" s="73"/>
      <c r="Y174" s="73"/>
      <c r="Z174" s="73"/>
      <c r="AA174" s="80"/>
      <c r="AB174" s="73"/>
    </row>
    <row r="175" ht="26.25" customHeight="1" spans="1:28">
      <c r="A175" s="67">
        <f>175-6</f>
        <v>169</v>
      </c>
      <c r="B175" s="68"/>
      <c r="C175" s="68"/>
      <c r="D175" s="68"/>
      <c r="E175" s="68"/>
      <c r="F175" s="68" t="s">
        <v>387</v>
      </c>
      <c r="G175" s="68"/>
      <c r="H175" s="68"/>
      <c r="I175" s="73">
        <f t="shared" si="174"/>
        <v>266.9</v>
      </c>
      <c r="J175" s="73">
        <f t="shared" ref="J175:M175" si="204">SUM(J176,J182)</f>
        <v>0</v>
      </c>
      <c r="K175" s="73">
        <f t="shared" si="204"/>
        <v>266.9</v>
      </c>
      <c r="L175" s="73">
        <f t="shared" si="204"/>
        <v>0</v>
      </c>
      <c r="M175" s="73">
        <f t="shared" si="204"/>
        <v>0</v>
      </c>
      <c r="N175" s="73">
        <f t="shared" si="175"/>
        <v>266.9</v>
      </c>
      <c r="O175" s="73">
        <f t="shared" ref="O175:S175" si="205">SUM(O176,O182)</f>
        <v>266.9</v>
      </c>
      <c r="P175" s="73">
        <f t="shared" si="205"/>
        <v>0</v>
      </c>
      <c r="Q175" s="73">
        <f t="shared" si="205"/>
        <v>0</v>
      </c>
      <c r="R175" s="73">
        <f t="shared" si="205"/>
        <v>0</v>
      </c>
      <c r="S175" s="73">
        <f t="shared" si="205"/>
        <v>0</v>
      </c>
      <c r="T175" s="73">
        <f t="shared" si="176"/>
        <v>0</v>
      </c>
      <c r="U175" s="73">
        <f t="shared" ref="U175:AA175" si="206">SUM(U176,U182)</f>
        <v>0</v>
      </c>
      <c r="V175" s="73">
        <f t="shared" si="206"/>
        <v>0</v>
      </c>
      <c r="W175" s="73">
        <f t="shared" si="206"/>
        <v>0</v>
      </c>
      <c r="X175" s="73">
        <f t="shared" si="206"/>
        <v>0</v>
      </c>
      <c r="Y175" s="73">
        <f t="shared" si="206"/>
        <v>0</v>
      </c>
      <c r="Z175" s="73">
        <f t="shared" si="206"/>
        <v>0</v>
      </c>
      <c r="AA175" s="80">
        <f t="shared" si="206"/>
        <v>0</v>
      </c>
      <c r="AB175" s="81" t="s">
        <v>245</v>
      </c>
    </row>
    <row r="176" ht="26.25" customHeight="1" spans="1:28">
      <c r="A176" s="67">
        <f>176-6</f>
        <v>170</v>
      </c>
      <c r="B176" s="68"/>
      <c r="C176" s="68"/>
      <c r="D176" s="68"/>
      <c r="E176" s="68"/>
      <c r="F176" s="68"/>
      <c r="G176" s="68" t="s">
        <v>388</v>
      </c>
      <c r="H176" s="68"/>
      <c r="I176" s="73">
        <f t="shared" si="174"/>
        <v>97.4</v>
      </c>
      <c r="J176" s="73">
        <f t="shared" ref="J176:M176" si="207">SUM(J177:J181)</f>
        <v>0</v>
      </c>
      <c r="K176" s="73">
        <f t="shared" si="207"/>
        <v>97.4</v>
      </c>
      <c r="L176" s="73">
        <f t="shared" si="207"/>
        <v>0</v>
      </c>
      <c r="M176" s="73">
        <f t="shared" si="207"/>
        <v>0</v>
      </c>
      <c r="N176" s="73">
        <f t="shared" si="175"/>
        <v>97.4</v>
      </c>
      <c r="O176" s="73">
        <f t="shared" ref="O176:S176" si="208">SUM(O177:O181)</f>
        <v>97.4</v>
      </c>
      <c r="P176" s="73">
        <f t="shared" si="208"/>
        <v>0</v>
      </c>
      <c r="Q176" s="73">
        <f t="shared" si="208"/>
        <v>0</v>
      </c>
      <c r="R176" s="73">
        <f t="shared" si="208"/>
        <v>0</v>
      </c>
      <c r="S176" s="73">
        <f t="shared" si="208"/>
        <v>0</v>
      </c>
      <c r="T176" s="73">
        <f t="shared" si="176"/>
        <v>0</v>
      </c>
      <c r="U176" s="73">
        <f t="shared" ref="U176:AA176" si="209">SUM(U177:U181)</f>
        <v>0</v>
      </c>
      <c r="V176" s="73">
        <f t="shared" si="209"/>
        <v>0</v>
      </c>
      <c r="W176" s="73">
        <f t="shared" si="209"/>
        <v>0</v>
      </c>
      <c r="X176" s="73">
        <f t="shared" si="209"/>
        <v>0</v>
      </c>
      <c r="Y176" s="73">
        <f t="shared" si="209"/>
        <v>0</v>
      </c>
      <c r="Z176" s="73">
        <f t="shared" si="209"/>
        <v>0</v>
      </c>
      <c r="AA176" s="80">
        <f t="shared" si="209"/>
        <v>0</v>
      </c>
      <c r="AB176" s="73"/>
    </row>
    <row r="177" ht="26.25" customHeight="1" spans="1:28">
      <c r="A177" s="67">
        <f>177-6</f>
        <v>171</v>
      </c>
      <c r="B177" s="68"/>
      <c r="C177" s="68"/>
      <c r="D177" s="68"/>
      <c r="E177" s="68"/>
      <c r="F177" s="68"/>
      <c r="G177" s="68"/>
      <c r="H177" s="68" t="s">
        <v>389</v>
      </c>
      <c r="I177" s="73">
        <f t="shared" si="174"/>
        <v>17.4</v>
      </c>
      <c r="J177" s="73"/>
      <c r="K177" s="73">
        <v>17.4</v>
      </c>
      <c r="L177" s="73"/>
      <c r="M177" s="73"/>
      <c r="N177" s="73">
        <f t="shared" si="175"/>
        <v>17.4</v>
      </c>
      <c r="O177" s="73">
        <v>17.4</v>
      </c>
      <c r="P177" s="73"/>
      <c r="Q177" s="73"/>
      <c r="R177" s="73"/>
      <c r="S177" s="73"/>
      <c r="T177" s="73">
        <f t="shared" si="176"/>
        <v>0</v>
      </c>
      <c r="U177" s="73"/>
      <c r="V177" s="73"/>
      <c r="W177" s="73"/>
      <c r="X177" s="73"/>
      <c r="Y177" s="73"/>
      <c r="Z177" s="73"/>
      <c r="AA177" s="80"/>
      <c r="AB177" s="73"/>
    </row>
    <row r="178" ht="26.25" customHeight="1" spans="1:28">
      <c r="A178" s="67">
        <f>178-6</f>
        <v>172</v>
      </c>
      <c r="B178" s="68"/>
      <c r="C178" s="68"/>
      <c r="D178" s="68"/>
      <c r="E178" s="68"/>
      <c r="F178" s="68"/>
      <c r="G178" s="68"/>
      <c r="H178" s="68" t="s">
        <v>390</v>
      </c>
      <c r="I178" s="73">
        <f t="shared" si="174"/>
        <v>25</v>
      </c>
      <c r="J178" s="73"/>
      <c r="K178" s="73">
        <v>25</v>
      </c>
      <c r="L178" s="73"/>
      <c r="M178" s="73"/>
      <c r="N178" s="73">
        <f t="shared" si="175"/>
        <v>25</v>
      </c>
      <c r="O178" s="73">
        <v>25</v>
      </c>
      <c r="P178" s="73"/>
      <c r="Q178" s="73"/>
      <c r="R178" s="73"/>
      <c r="S178" s="73"/>
      <c r="T178" s="73">
        <f t="shared" si="176"/>
        <v>0</v>
      </c>
      <c r="U178" s="73"/>
      <c r="V178" s="73"/>
      <c r="W178" s="73"/>
      <c r="X178" s="73"/>
      <c r="Y178" s="73"/>
      <c r="Z178" s="73"/>
      <c r="AA178" s="80"/>
      <c r="AB178" s="73"/>
    </row>
    <row r="179" ht="26.25" customHeight="1" spans="1:28">
      <c r="A179" s="67">
        <f>179-6</f>
        <v>173</v>
      </c>
      <c r="B179" s="68"/>
      <c r="C179" s="68"/>
      <c r="D179" s="68"/>
      <c r="E179" s="68"/>
      <c r="F179" s="68"/>
      <c r="G179" s="68"/>
      <c r="H179" s="68" t="s">
        <v>391</v>
      </c>
      <c r="I179" s="73">
        <f t="shared" si="174"/>
        <v>4</v>
      </c>
      <c r="J179" s="73"/>
      <c r="K179" s="73">
        <v>4</v>
      </c>
      <c r="L179" s="73"/>
      <c r="M179" s="73"/>
      <c r="N179" s="73">
        <f t="shared" si="175"/>
        <v>4</v>
      </c>
      <c r="O179" s="73">
        <v>4</v>
      </c>
      <c r="P179" s="73"/>
      <c r="Q179" s="73"/>
      <c r="R179" s="73"/>
      <c r="S179" s="73"/>
      <c r="T179" s="73">
        <f t="shared" si="176"/>
        <v>0</v>
      </c>
      <c r="U179" s="73"/>
      <c r="V179" s="73"/>
      <c r="W179" s="73"/>
      <c r="X179" s="73"/>
      <c r="Y179" s="73"/>
      <c r="Z179" s="73"/>
      <c r="AA179" s="80"/>
      <c r="AB179" s="73"/>
    </row>
    <row r="180" ht="26.25" customHeight="1" spans="1:28">
      <c r="A180" s="67">
        <f>180-6</f>
        <v>174</v>
      </c>
      <c r="B180" s="68"/>
      <c r="C180" s="68"/>
      <c r="D180" s="68"/>
      <c r="E180" s="68"/>
      <c r="F180" s="68"/>
      <c r="G180" s="68"/>
      <c r="H180" s="68" t="s">
        <v>392</v>
      </c>
      <c r="I180" s="73">
        <f t="shared" si="174"/>
        <v>25</v>
      </c>
      <c r="J180" s="73"/>
      <c r="K180" s="73">
        <v>25</v>
      </c>
      <c r="L180" s="73"/>
      <c r="M180" s="73"/>
      <c r="N180" s="73">
        <f t="shared" si="175"/>
        <v>25</v>
      </c>
      <c r="O180" s="73">
        <v>25</v>
      </c>
      <c r="P180" s="73"/>
      <c r="Q180" s="73"/>
      <c r="R180" s="73"/>
      <c r="S180" s="73"/>
      <c r="T180" s="73">
        <f t="shared" si="176"/>
        <v>0</v>
      </c>
      <c r="U180" s="73"/>
      <c r="V180" s="73"/>
      <c r="W180" s="73"/>
      <c r="X180" s="73"/>
      <c r="Y180" s="73"/>
      <c r="Z180" s="73"/>
      <c r="AA180" s="80"/>
      <c r="AB180" s="73"/>
    </row>
    <row r="181" ht="26.25" customHeight="1" spans="1:28">
      <c r="A181" s="67">
        <f>181-6</f>
        <v>175</v>
      </c>
      <c r="B181" s="68"/>
      <c r="C181" s="68"/>
      <c r="D181" s="68"/>
      <c r="E181" s="68"/>
      <c r="F181" s="68"/>
      <c r="G181" s="68"/>
      <c r="H181" s="68" t="s">
        <v>393</v>
      </c>
      <c r="I181" s="73">
        <f t="shared" si="174"/>
        <v>26</v>
      </c>
      <c r="J181" s="73"/>
      <c r="K181" s="73">
        <v>26</v>
      </c>
      <c r="L181" s="73"/>
      <c r="M181" s="73"/>
      <c r="N181" s="73">
        <f t="shared" si="175"/>
        <v>26</v>
      </c>
      <c r="O181" s="73">
        <v>26</v>
      </c>
      <c r="P181" s="73"/>
      <c r="Q181" s="73"/>
      <c r="R181" s="73"/>
      <c r="S181" s="73"/>
      <c r="T181" s="73">
        <f t="shared" si="176"/>
        <v>0</v>
      </c>
      <c r="U181" s="73"/>
      <c r="V181" s="73"/>
      <c r="W181" s="73"/>
      <c r="X181" s="73"/>
      <c r="Y181" s="73"/>
      <c r="Z181" s="73"/>
      <c r="AA181" s="80"/>
      <c r="AB181" s="73"/>
    </row>
    <row r="182" ht="26.25" customHeight="1" spans="1:28">
      <c r="A182" s="67">
        <f>182-6</f>
        <v>176</v>
      </c>
      <c r="B182" s="68"/>
      <c r="C182" s="68"/>
      <c r="D182" s="68"/>
      <c r="E182" s="68"/>
      <c r="F182" s="68"/>
      <c r="G182" s="68" t="s">
        <v>394</v>
      </c>
      <c r="H182" s="68"/>
      <c r="I182" s="73">
        <f t="shared" si="174"/>
        <v>169.5</v>
      </c>
      <c r="J182" s="73">
        <f t="shared" ref="J182:M182" si="210">SUM(J183:J190)</f>
        <v>0</v>
      </c>
      <c r="K182" s="73">
        <f t="shared" si="210"/>
        <v>169.5</v>
      </c>
      <c r="L182" s="73">
        <f t="shared" si="210"/>
        <v>0</v>
      </c>
      <c r="M182" s="73">
        <f t="shared" si="210"/>
        <v>0</v>
      </c>
      <c r="N182" s="73">
        <f t="shared" si="175"/>
        <v>169.5</v>
      </c>
      <c r="O182" s="73">
        <f t="shared" ref="O182:S182" si="211">SUM(O183:O190)</f>
        <v>169.5</v>
      </c>
      <c r="P182" s="73">
        <f t="shared" si="211"/>
        <v>0</v>
      </c>
      <c r="Q182" s="73">
        <f t="shared" si="211"/>
        <v>0</v>
      </c>
      <c r="R182" s="73">
        <f t="shared" si="211"/>
        <v>0</v>
      </c>
      <c r="S182" s="73">
        <f t="shared" si="211"/>
        <v>0</v>
      </c>
      <c r="T182" s="73">
        <f t="shared" si="176"/>
        <v>0</v>
      </c>
      <c r="U182" s="73">
        <f t="shared" ref="U182:AA182" si="212">SUM(U183:U190)</f>
        <v>0</v>
      </c>
      <c r="V182" s="73">
        <f t="shared" si="212"/>
        <v>0</v>
      </c>
      <c r="W182" s="73">
        <f t="shared" si="212"/>
        <v>0</v>
      </c>
      <c r="X182" s="73">
        <f t="shared" si="212"/>
        <v>0</v>
      </c>
      <c r="Y182" s="73">
        <f t="shared" si="212"/>
        <v>0</v>
      </c>
      <c r="Z182" s="73">
        <f t="shared" si="212"/>
        <v>0</v>
      </c>
      <c r="AA182" s="80">
        <f t="shared" si="212"/>
        <v>0</v>
      </c>
      <c r="AB182" s="73"/>
    </row>
    <row r="183" ht="26.25" customHeight="1" spans="1:28">
      <c r="A183" s="67">
        <f>183-6</f>
        <v>177</v>
      </c>
      <c r="B183" s="68"/>
      <c r="C183" s="68"/>
      <c r="D183" s="68"/>
      <c r="E183" s="68"/>
      <c r="F183" s="68"/>
      <c r="G183" s="68"/>
      <c r="H183" s="68" t="s">
        <v>395</v>
      </c>
      <c r="I183" s="73">
        <f t="shared" si="174"/>
        <v>26.5</v>
      </c>
      <c r="J183" s="73"/>
      <c r="K183" s="73">
        <v>26.5</v>
      </c>
      <c r="L183" s="73"/>
      <c r="M183" s="73"/>
      <c r="N183" s="73">
        <f t="shared" si="175"/>
        <v>26.5</v>
      </c>
      <c r="O183" s="73">
        <v>26.5</v>
      </c>
      <c r="P183" s="73"/>
      <c r="Q183" s="73"/>
      <c r="R183" s="73"/>
      <c r="S183" s="73"/>
      <c r="T183" s="73">
        <f t="shared" si="176"/>
        <v>0</v>
      </c>
      <c r="U183" s="73"/>
      <c r="V183" s="73"/>
      <c r="W183" s="73"/>
      <c r="X183" s="73"/>
      <c r="Y183" s="73"/>
      <c r="Z183" s="73"/>
      <c r="AA183" s="80"/>
      <c r="AB183" s="73"/>
    </row>
    <row r="184" ht="26.25" customHeight="1" spans="1:28">
      <c r="A184" s="67">
        <f>184-6</f>
        <v>178</v>
      </c>
      <c r="B184" s="68"/>
      <c r="C184" s="68"/>
      <c r="D184" s="68"/>
      <c r="E184" s="68"/>
      <c r="F184" s="68"/>
      <c r="G184" s="68"/>
      <c r="H184" s="68" t="s">
        <v>396</v>
      </c>
      <c r="I184" s="73">
        <f t="shared" si="174"/>
        <v>44</v>
      </c>
      <c r="J184" s="73"/>
      <c r="K184" s="73">
        <v>44</v>
      </c>
      <c r="L184" s="73"/>
      <c r="M184" s="73"/>
      <c r="N184" s="73">
        <f t="shared" si="175"/>
        <v>44</v>
      </c>
      <c r="O184" s="73">
        <v>44</v>
      </c>
      <c r="P184" s="73"/>
      <c r="Q184" s="73"/>
      <c r="R184" s="73"/>
      <c r="S184" s="73"/>
      <c r="T184" s="73">
        <f t="shared" si="176"/>
        <v>0</v>
      </c>
      <c r="U184" s="73"/>
      <c r="V184" s="73"/>
      <c r="W184" s="73"/>
      <c r="X184" s="73"/>
      <c r="Y184" s="73"/>
      <c r="Z184" s="73"/>
      <c r="AA184" s="80"/>
      <c r="AB184" s="73"/>
    </row>
    <row r="185" ht="26.25" customHeight="1" spans="1:28">
      <c r="A185" s="67">
        <f>185-6</f>
        <v>179</v>
      </c>
      <c r="B185" s="68"/>
      <c r="C185" s="68"/>
      <c r="D185" s="68"/>
      <c r="E185" s="68"/>
      <c r="F185" s="68"/>
      <c r="G185" s="68"/>
      <c r="H185" s="68" t="s">
        <v>397</v>
      </c>
      <c r="I185" s="73">
        <f t="shared" si="174"/>
        <v>40</v>
      </c>
      <c r="J185" s="73"/>
      <c r="K185" s="73">
        <v>40</v>
      </c>
      <c r="L185" s="73"/>
      <c r="M185" s="73"/>
      <c r="N185" s="73">
        <f t="shared" si="175"/>
        <v>40</v>
      </c>
      <c r="O185" s="73">
        <v>40</v>
      </c>
      <c r="P185" s="73"/>
      <c r="Q185" s="73"/>
      <c r="R185" s="73"/>
      <c r="S185" s="73"/>
      <c r="T185" s="73">
        <f t="shared" si="176"/>
        <v>0</v>
      </c>
      <c r="U185" s="73"/>
      <c r="V185" s="73"/>
      <c r="W185" s="73"/>
      <c r="X185" s="73"/>
      <c r="Y185" s="73"/>
      <c r="Z185" s="73"/>
      <c r="AA185" s="80"/>
      <c r="AB185" s="73"/>
    </row>
    <row r="186" ht="26.25" customHeight="1" spans="1:28">
      <c r="A186" s="67">
        <f>186-6</f>
        <v>180</v>
      </c>
      <c r="B186" s="68"/>
      <c r="C186" s="68"/>
      <c r="D186" s="68"/>
      <c r="E186" s="68"/>
      <c r="F186" s="68"/>
      <c r="G186" s="68"/>
      <c r="H186" s="68" t="s">
        <v>398</v>
      </c>
      <c r="I186" s="73">
        <f t="shared" si="174"/>
        <v>30</v>
      </c>
      <c r="J186" s="73"/>
      <c r="K186" s="73">
        <v>30</v>
      </c>
      <c r="L186" s="73"/>
      <c r="M186" s="73"/>
      <c r="N186" s="73">
        <f t="shared" si="175"/>
        <v>30</v>
      </c>
      <c r="O186" s="73">
        <v>30</v>
      </c>
      <c r="P186" s="73"/>
      <c r="Q186" s="73"/>
      <c r="R186" s="73"/>
      <c r="S186" s="73"/>
      <c r="T186" s="73">
        <f t="shared" si="176"/>
        <v>0</v>
      </c>
      <c r="U186" s="73"/>
      <c r="V186" s="73"/>
      <c r="W186" s="73"/>
      <c r="X186" s="73"/>
      <c r="Y186" s="73"/>
      <c r="Z186" s="73"/>
      <c r="AA186" s="80"/>
      <c r="AB186" s="73"/>
    </row>
    <row r="187" ht="26.25" customHeight="1" spans="1:28">
      <c r="A187" s="67">
        <f>187-6</f>
        <v>181</v>
      </c>
      <c r="B187" s="68"/>
      <c r="C187" s="68"/>
      <c r="D187" s="68"/>
      <c r="E187" s="68"/>
      <c r="F187" s="68"/>
      <c r="G187" s="68"/>
      <c r="H187" s="68" t="s">
        <v>399</v>
      </c>
      <c r="I187" s="73">
        <f t="shared" si="174"/>
        <v>7.5</v>
      </c>
      <c r="J187" s="73"/>
      <c r="K187" s="73">
        <v>7.5</v>
      </c>
      <c r="L187" s="73"/>
      <c r="M187" s="73"/>
      <c r="N187" s="73">
        <f t="shared" si="175"/>
        <v>7.5</v>
      </c>
      <c r="O187" s="73">
        <v>7.5</v>
      </c>
      <c r="P187" s="73"/>
      <c r="Q187" s="73"/>
      <c r="R187" s="73"/>
      <c r="S187" s="73"/>
      <c r="T187" s="73">
        <f t="shared" si="176"/>
        <v>0</v>
      </c>
      <c r="U187" s="73"/>
      <c r="V187" s="73"/>
      <c r="W187" s="73"/>
      <c r="X187" s="73"/>
      <c r="Y187" s="73"/>
      <c r="Z187" s="73"/>
      <c r="AA187" s="80"/>
      <c r="AB187" s="73"/>
    </row>
    <row r="188" ht="26.25" customHeight="1" spans="1:28">
      <c r="A188" s="67">
        <f>188-6</f>
        <v>182</v>
      </c>
      <c r="B188" s="68"/>
      <c r="C188" s="68"/>
      <c r="D188" s="68"/>
      <c r="E188" s="68"/>
      <c r="F188" s="68"/>
      <c r="G188" s="68"/>
      <c r="H188" s="68" t="s">
        <v>400</v>
      </c>
      <c r="I188" s="73">
        <f t="shared" si="174"/>
        <v>6.5</v>
      </c>
      <c r="J188" s="73"/>
      <c r="K188" s="73">
        <v>6.5</v>
      </c>
      <c r="L188" s="73"/>
      <c r="M188" s="73"/>
      <c r="N188" s="73">
        <f t="shared" si="175"/>
        <v>6.5</v>
      </c>
      <c r="O188" s="73">
        <v>6.5</v>
      </c>
      <c r="P188" s="73"/>
      <c r="Q188" s="73"/>
      <c r="R188" s="73"/>
      <c r="S188" s="73"/>
      <c r="T188" s="73">
        <f t="shared" si="176"/>
        <v>0</v>
      </c>
      <c r="U188" s="73"/>
      <c r="V188" s="73"/>
      <c r="W188" s="73"/>
      <c r="X188" s="73"/>
      <c r="Y188" s="73"/>
      <c r="Z188" s="73"/>
      <c r="AA188" s="80"/>
      <c r="AB188" s="73"/>
    </row>
    <row r="189" ht="26.25" customHeight="1" spans="1:28">
      <c r="A189" s="67">
        <f>189-6</f>
        <v>183</v>
      </c>
      <c r="B189" s="68"/>
      <c r="C189" s="68"/>
      <c r="D189" s="68"/>
      <c r="E189" s="68"/>
      <c r="F189" s="68"/>
      <c r="G189" s="68"/>
      <c r="H189" s="68" t="s">
        <v>401</v>
      </c>
      <c r="I189" s="73">
        <f t="shared" si="174"/>
        <v>4</v>
      </c>
      <c r="J189" s="73"/>
      <c r="K189" s="73">
        <v>4</v>
      </c>
      <c r="L189" s="73"/>
      <c r="M189" s="73"/>
      <c r="N189" s="73">
        <f t="shared" si="175"/>
        <v>4</v>
      </c>
      <c r="O189" s="73">
        <v>4</v>
      </c>
      <c r="P189" s="73"/>
      <c r="Q189" s="73"/>
      <c r="R189" s="73"/>
      <c r="S189" s="73"/>
      <c r="T189" s="73">
        <f t="shared" si="176"/>
        <v>0</v>
      </c>
      <c r="U189" s="73"/>
      <c r="V189" s="73"/>
      <c r="W189" s="73"/>
      <c r="X189" s="73"/>
      <c r="Y189" s="73"/>
      <c r="Z189" s="73"/>
      <c r="AA189" s="80"/>
      <c r="AB189" s="73"/>
    </row>
    <row r="190" ht="26.25" customHeight="1" spans="1:28">
      <c r="A190" s="67">
        <f>190-6</f>
        <v>184</v>
      </c>
      <c r="B190" s="68"/>
      <c r="C190" s="68"/>
      <c r="D190" s="68"/>
      <c r="E190" s="68"/>
      <c r="F190" s="68"/>
      <c r="G190" s="68"/>
      <c r="H190" s="68" t="s">
        <v>402</v>
      </c>
      <c r="I190" s="73">
        <f t="shared" si="174"/>
        <v>11</v>
      </c>
      <c r="J190" s="73"/>
      <c r="K190" s="73">
        <v>11</v>
      </c>
      <c r="L190" s="73"/>
      <c r="M190" s="73"/>
      <c r="N190" s="73">
        <f t="shared" si="175"/>
        <v>11</v>
      </c>
      <c r="O190" s="73">
        <v>11</v>
      </c>
      <c r="P190" s="73"/>
      <c r="Q190" s="73"/>
      <c r="R190" s="73"/>
      <c r="S190" s="73"/>
      <c r="T190" s="73">
        <f t="shared" si="176"/>
        <v>0</v>
      </c>
      <c r="U190" s="73"/>
      <c r="V190" s="73"/>
      <c r="W190" s="73"/>
      <c r="X190" s="73"/>
      <c r="Y190" s="73"/>
      <c r="Z190" s="73"/>
      <c r="AA190" s="80"/>
      <c r="AB190" s="73"/>
    </row>
    <row r="191" ht="26.25" customHeight="1" spans="1:28">
      <c r="A191" s="67">
        <f>191-6</f>
        <v>185</v>
      </c>
      <c r="B191" s="68"/>
      <c r="C191" s="68"/>
      <c r="D191" s="68"/>
      <c r="E191" s="68"/>
      <c r="F191" s="68" t="s">
        <v>403</v>
      </c>
      <c r="G191" s="68"/>
      <c r="H191" s="68"/>
      <c r="I191" s="73">
        <f t="shared" si="174"/>
        <v>8891.416</v>
      </c>
      <c r="J191" s="73">
        <f t="shared" ref="J191:M191" si="213">SUM(J192,J198)</f>
        <v>0</v>
      </c>
      <c r="K191" s="73">
        <f t="shared" si="213"/>
        <v>8891.416</v>
      </c>
      <c r="L191" s="73">
        <f t="shared" si="213"/>
        <v>0</v>
      </c>
      <c r="M191" s="73">
        <f t="shared" si="213"/>
        <v>0</v>
      </c>
      <c r="N191" s="73">
        <f t="shared" si="175"/>
        <v>8891.416</v>
      </c>
      <c r="O191" s="73">
        <f t="shared" ref="O191:S191" si="214">SUM(O192,O198)</f>
        <v>8891.416</v>
      </c>
      <c r="P191" s="73">
        <f t="shared" si="214"/>
        <v>0</v>
      </c>
      <c r="Q191" s="73">
        <f t="shared" si="214"/>
        <v>0</v>
      </c>
      <c r="R191" s="73">
        <f t="shared" si="214"/>
        <v>0</v>
      </c>
      <c r="S191" s="73">
        <f t="shared" si="214"/>
        <v>0</v>
      </c>
      <c r="T191" s="73">
        <f t="shared" si="176"/>
        <v>0</v>
      </c>
      <c r="U191" s="73">
        <f t="shared" ref="U191:AA191" si="215">SUM(U192,U198)</f>
        <v>0</v>
      </c>
      <c r="V191" s="73">
        <f t="shared" si="215"/>
        <v>0</v>
      </c>
      <c r="W191" s="73">
        <f t="shared" si="215"/>
        <v>0</v>
      </c>
      <c r="X191" s="73">
        <f t="shared" si="215"/>
        <v>0</v>
      </c>
      <c r="Y191" s="73">
        <f t="shared" si="215"/>
        <v>0</v>
      </c>
      <c r="Z191" s="73">
        <f t="shared" si="215"/>
        <v>0</v>
      </c>
      <c r="AA191" s="80">
        <f t="shared" si="215"/>
        <v>0</v>
      </c>
      <c r="AB191" s="81" t="s">
        <v>245</v>
      </c>
    </row>
    <row r="192" ht="26.25" customHeight="1" spans="1:28">
      <c r="A192" s="67">
        <f>192-6</f>
        <v>186</v>
      </c>
      <c r="B192" s="68"/>
      <c r="C192" s="68"/>
      <c r="D192" s="68"/>
      <c r="E192" s="68"/>
      <c r="F192" s="68"/>
      <c r="G192" s="68" t="s">
        <v>404</v>
      </c>
      <c r="H192" s="68"/>
      <c r="I192" s="73">
        <f t="shared" si="174"/>
        <v>7978.68</v>
      </c>
      <c r="J192" s="73">
        <f t="shared" ref="J192:M192" si="216">SUM(J193:J197)</f>
        <v>0</v>
      </c>
      <c r="K192" s="73">
        <f t="shared" si="216"/>
        <v>7978.68</v>
      </c>
      <c r="L192" s="73">
        <f t="shared" si="216"/>
        <v>0</v>
      </c>
      <c r="M192" s="73">
        <f t="shared" si="216"/>
        <v>0</v>
      </c>
      <c r="N192" s="73">
        <f t="shared" si="175"/>
        <v>7978.68</v>
      </c>
      <c r="O192" s="73">
        <f t="shared" ref="O192:S192" si="217">SUM(O193:O197)</f>
        <v>7978.68</v>
      </c>
      <c r="P192" s="73">
        <f t="shared" si="217"/>
        <v>0</v>
      </c>
      <c r="Q192" s="73">
        <f t="shared" si="217"/>
        <v>0</v>
      </c>
      <c r="R192" s="73">
        <f t="shared" si="217"/>
        <v>0</v>
      </c>
      <c r="S192" s="73">
        <f t="shared" si="217"/>
        <v>0</v>
      </c>
      <c r="T192" s="73">
        <f t="shared" si="176"/>
        <v>0</v>
      </c>
      <c r="U192" s="73">
        <f t="shared" ref="U192:AA192" si="218">SUM(U193:U197)</f>
        <v>0</v>
      </c>
      <c r="V192" s="73">
        <f t="shared" si="218"/>
        <v>0</v>
      </c>
      <c r="W192" s="73">
        <f t="shared" si="218"/>
        <v>0</v>
      </c>
      <c r="X192" s="73">
        <f t="shared" si="218"/>
        <v>0</v>
      </c>
      <c r="Y192" s="73">
        <f t="shared" si="218"/>
        <v>0</v>
      </c>
      <c r="Z192" s="73">
        <f t="shared" si="218"/>
        <v>0</v>
      </c>
      <c r="AA192" s="80">
        <f t="shared" si="218"/>
        <v>0</v>
      </c>
      <c r="AB192" s="73"/>
    </row>
    <row r="193" ht="26.25" customHeight="1" spans="1:28">
      <c r="A193" s="67">
        <f>193-6</f>
        <v>187</v>
      </c>
      <c r="B193" s="68"/>
      <c r="C193" s="68"/>
      <c r="D193" s="68"/>
      <c r="E193" s="68"/>
      <c r="F193" s="68"/>
      <c r="G193" s="68"/>
      <c r="H193" s="68" t="s">
        <v>405</v>
      </c>
      <c r="I193" s="73">
        <f t="shared" si="174"/>
        <v>7674.48</v>
      </c>
      <c r="J193" s="73"/>
      <c r="K193" s="73">
        <v>7674.48</v>
      </c>
      <c r="L193" s="73"/>
      <c r="M193" s="73"/>
      <c r="N193" s="73">
        <f t="shared" si="175"/>
        <v>7674.48</v>
      </c>
      <c r="O193" s="73">
        <v>7674.48</v>
      </c>
      <c r="P193" s="73"/>
      <c r="Q193" s="73"/>
      <c r="R193" s="73"/>
      <c r="S193" s="73"/>
      <c r="T193" s="73">
        <f t="shared" si="176"/>
        <v>0</v>
      </c>
      <c r="U193" s="73"/>
      <c r="V193" s="73"/>
      <c r="W193" s="73"/>
      <c r="X193" s="73"/>
      <c r="Y193" s="73"/>
      <c r="Z193" s="73"/>
      <c r="AA193" s="80"/>
      <c r="AB193" s="73"/>
    </row>
    <row r="194" ht="26.25" customHeight="1" spans="1:28">
      <c r="A194" s="67">
        <f>194-6</f>
        <v>188</v>
      </c>
      <c r="B194" s="68"/>
      <c r="C194" s="68"/>
      <c r="D194" s="68"/>
      <c r="E194" s="68"/>
      <c r="F194" s="68"/>
      <c r="G194" s="68"/>
      <c r="H194" s="68" t="s">
        <v>406</v>
      </c>
      <c r="I194" s="73">
        <f t="shared" si="174"/>
        <v>81.6</v>
      </c>
      <c r="J194" s="73"/>
      <c r="K194" s="73">
        <v>81.6</v>
      </c>
      <c r="L194" s="73"/>
      <c r="M194" s="73"/>
      <c r="N194" s="73">
        <f t="shared" si="175"/>
        <v>81.6</v>
      </c>
      <c r="O194" s="73">
        <v>81.6</v>
      </c>
      <c r="P194" s="73"/>
      <c r="Q194" s="73"/>
      <c r="R194" s="73"/>
      <c r="S194" s="73"/>
      <c r="T194" s="73">
        <f t="shared" si="176"/>
        <v>0</v>
      </c>
      <c r="U194" s="73"/>
      <c r="V194" s="73"/>
      <c r="W194" s="73"/>
      <c r="X194" s="73"/>
      <c r="Y194" s="73"/>
      <c r="Z194" s="73"/>
      <c r="AA194" s="80"/>
      <c r="AB194" s="73"/>
    </row>
    <row r="195" ht="26.25" customHeight="1" spans="1:28">
      <c r="A195" s="67">
        <f>195-6</f>
        <v>189</v>
      </c>
      <c r="B195" s="68"/>
      <c r="C195" s="68"/>
      <c r="D195" s="68"/>
      <c r="E195" s="68"/>
      <c r="F195" s="68"/>
      <c r="G195" s="68"/>
      <c r="H195" s="68" t="s">
        <v>407</v>
      </c>
      <c r="I195" s="73">
        <f t="shared" si="174"/>
        <v>104.34</v>
      </c>
      <c r="J195" s="73"/>
      <c r="K195" s="73">
        <v>104.34</v>
      </c>
      <c r="L195" s="73"/>
      <c r="M195" s="73"/>
      <c r="N195" s="73">
        <f t="shared" si="175"/>
        <v>104.34</v>
      </c>
      <c r="O195" s="73">
        <v>104.34</v>
      </c>
      <c r="P195" s="73"/>
      <c r="Q195" s="73"/>
      <c r="R195" s="73"/>
      <c r="S195" s="73"/>
      <c r="T195" s="73">
        <f t="shared" si="176"/>
        <v>0</v>
      </c>
      <c r="U195" s="73"/>
      <c r="V195" s="73"/>
      <c r="W195" s="73"/>
      <c r="X195" s="73"/>
      <c r="Y195" s="73"/>
      <c r="Z195" s="73"/>
      <c r="AA195" s="80"/>
      <c r="AB195" s="73"/>
    </row>
    <row r="196" ht="26.25" customHeight="1" spans="1:28">
      <c r="A196" s="67">
        <f>196-6</f>
        <v>190</v>
      </c>
      <c r="B196" s="68"/>
      <c r="C196" s="68"/>
      <c r="D196" s="68"/>
      <c r="E196" s="68"/>
      <c r="F196" s="68"/>
      <c r="G196" s="68"/>
      <c r="H196" s="68" t="s">
        <v>408</v>
      </c>
      <c r="I196" s="73">
        <f t="shared" si="174"/>
        <v>91.8</v>
      </c>
      <c r="J196" s="73"/>
      <c r="K196" s="73">
        <v>91.8</v>
      </c>
      <c r="L196" s="73"/>
      <c r="M196" s="73"/>
      <c r="N196" s="73">
        <f t="shared" si="175"/>
        <v>91.8</v>
      </c>
      <c r="O196" s="73">
        <v>91.8</v>
      </c>
      <c r="P196" s="73"/>
      <c r="Q196" s="73"/>
      <c r="R196" s="73"/>
      <c r="S196" s="73"/>
      <c r="T196" s="73">
        <f t="shared" si="176"/>
        <v>0</v>
      </c>
      <c r="U196" s="73"/>
      <c r="V196" s="73"/>
      <c r="W196" s="73"/>
      <c r="X196" s="73"/>
      <c r="Y196" s="73"/>
      <c r="Z196" s="73"/>
      <c r="AA196" s="80"/>
      <c r="AB196" s="73"/>
    </row>
    <row r="197" ht="26.25" customHeight="1" spans="1:28">
      <c r="A197" s="67">
        <f>197-6</f>
        <v>191</v>
      </c>
      <c r="B197" s="68"/>
      <c r="C197" s="68"/>
      <c r="D197" s="68"/>
      <c r="E197" s="68"/>
      <c r="F197" s="68"/>
      <c r="G197" s="68"/>
      <c r="H197" s="68" t="s">
        <v>409</v>
      </c>
      <c r="I197" s="73">
        <f t="shared" si="174"/>
        <v>26.46</v>
      </c>
      <c r="J197" s="73"/>
      <c r="K197" s="73">
        <v>26.46</v>
      </c>
      <c r="L197" s="73"/>
      <c r="M197" s="73"/>
      <c r="N197" s="73">
        <f t="shared" si="175"/>
        <v>26.46</v>
      </c>
      <c r="O197" s="73">
        <v>26.46</v>
      </c>
      <c r="P197" s="73"/>
      <c r="Q197" s="73"/>
      <c r="R197" s="73"/>
      <c r="S197" s="73"/>
      <c r="T197" s="73">
        <f t="shared" si="176"/>
        <v>0</v>
      </c>
      <c r="U197" s="73"/>
      <c r="V197" s="73"/>
      <c r="W197" s="73"/>
      <c r="X197" s="73"/>
      <c r="Y197" s="73"/>
      <c r="Z197" s="73"/>
      <c r="AA197" s="80"/>
      <c r="AB197" s="73"/>
    </row>
    <row r="198" ht="26.25" customHeight="1" spans="1:28">
      <c r="A198" s="67">
        <f>198-6</f>
        <v>192</v>
      </c>
      <c r="B198" s="68"/>
      <c r="C198" s="68"/>
      <c r="D198" s="68"/>
      <c r="E198" s="68"/>
      <c r="F198" s="68"/>
      <c r="G198" s="68" t="s">
        <v>410</v>
      </c>
      <c r="H198" s="68"/>
      <c r="I198" s="73">
        <f t="shared" ref="I198:I261" si="219">J198+K198+L198+M198</f>
        <v>912.736</v>
      </c>
      <c r="J198" s="73">
        <f t="shared" ref="J198:M198" si="220">SUM(J199:J203)</f>
        <v>0</v>
      </c>
      <c r="K198" s="73">
        <f t="shared" si="220"/>
        <v>912.736</v>
      </c>
      <c r="L198" s="73">
        <f t="shared" si="220"/>
        <v>0</v>
      </c>
      <c r="M198" s="73">
        <f t="shared" si="220"/>
        <v>0</v>
      </c>
      <c r="N198" s="73">
        <f t="shared" ref="N198:N261" si="221">O198+P198+Q198</f>
        <v>912.736</v>
      </c>
      <c r="O198" s="73">
        <f t="shared" ref="O198:S198" si="222">SUM(O199:O203)</f>
        <v>912.736</v>
      </c>
      <c r="P198" s="73">
        <f t="shared" si="222"/>
        <v>0</v>
      </c>
      <c r="Q198" s="73">
        <f t="shared" si="222"/>
        <v>0</v>
      </c>
      <c r="R198" s="73">
        <f t="shared" si="222"/>
        <v>0</v>
      </c>
      <c r="S198" s="73">
        <f t="shared" si="222"/>
        <v>0</v>
      </c>
      <c r="T198" s="73">
        <f t="shared" ref="T198:T261" si="223">U198+V198+W198+X198+Y198</f>
        <v>0</v>
      </c>
      <c r="U198" s="73">
        <f t="shared" ref="U198:AA198" si="224">SUM(U199:U203)</f>
        <v>0</v>
      </c>
      <c r="V198" s="73">
        <f t="shared" si="224"/>
        <v>0</v>
      </c>
      <c r="W198" s="73">
        <f t="shared" si="224"/>
        <v>0</v>
      </c>
      <c r="X198" s="73">
        <f t="shared" si="224"/>
        <v>0</v>
      </c>
      <c r="Y198" s="73">
        <f t="shared" si="224"/>
        <v>0</v>
      </c>
      <c r="Z198" s="73">
        <f t="shared" si="224"/>
        <v>0</v>
      </c>
      <c r="AA198" s="80">
        <f t="shared" si="224"/>
        <v>0</v>
      </c>
      <c r="AB198" s="73"/>
    </row>
    <row r="199" ht="26.25" customHeight="1" spans="1:28">
      <c r="A199" s="67">
        <f>199-6</f>
        <v>193</v>
      </c>
      <c r="B199" s="68"/>
      <c r="C199" s="68"/>
      <c r="D199" s="68"/>
      <c r="E199" s="68"/>
      <c r="F199" s="68"/>
      <c r="G199" s="68"/>
      <c r="H199" s="68" t="s">
        <v>405</v>
      </c>
      <c r="I199" s="73">
        <f t="shared" si="219"/>
        <v>778</v>
      </c>
      <c r="J199" s="73"/>
      <c r="K199" s="73">
        <v>778</v>
      </c>
      <c r="L199" s="73"/>
      <c r="M199" s="73"/>
      <c r="N199" s="73">
        <f t="shared" si="221"/>
        <v>778</v>
      </c>
      <c r="O199" s="73">
        <v>778</v>
      </c>
      <c r="P199" s="73"/>
      <c r="Q199" s="73"/>
      <c r="R199" s="73"/>
      <c r="S199" s="73"/>
      <c r="T199" s="73">
        <f t="shared" si="223"/>
        <v>0</v>
      </c>
      <c r="U199" s="73"/>
      <c r="V199" s="73"/>
      <c r="W199" s="73"/>
      <c r="X199" s="73"/>
      <c r="Y199" s="73"/>
      <c r="Z199" s="73"/>
      <c r="AA199" s="80"/>
      <c r="AB199" s="73"/>
    </row>
    <row r="200" ht="26.25" customHeight="1" spans="1:28">
      <c r="A200" s="67">
        <f>200-6</f>
        <v>194</v>
      </c>
      <c r="B200" s="68"/>
      <c r="C200" s="68"/>
      <c r="D200" s="68"/>
      <c r="E200" s="68"/>
      <c r="F200" s="68"/>
      <c r="G200" s="68"/>
      <c r="H200" s="68" t="s">
        <v>411</v>
      </c>
      <c r="I200" s="73">
        <f t="shared" si="219"/>
        <v>51.2</v>
      </c>
      <c r="J200" s="73"/>
      <c r="K200" s="73">
        <v>51.2</v>
      </c>
      <c r="L200" s="73"/>
      <c r="M200" s="73"/>
      <c r="N200" s="73">
        <f t="shared" si="221"/>
        <v>51.2</v>
      </c>
      <c r="O200" s="73">
        <v>51.2</v>
      </c>
      <c r="P200" s="73"/>
      <c r="Q200" s="73"/>
      <c r="R200" s="73"/>
      <c r="S200" s="73"/>
      <c r="T200" s="73">
        <f t="shared" si="223"/>
        <v>0</v>
      </c>
      <c r="U200" s="73"/>
      <c r="V200" s="73"/>
      <c r="W200" s="73"/>
      <c r="X200" s="73"/>
      <c r="Y200" s="73"/>
      <c r="Z200" s="73"/>
      <c r="AA200" s="80"/>
      <c r="AB200" s="73"/>
    </row>
    <row r="201" ht="26.25" customHeight="1" spans="1:28">
      <c r="A201" s="67">
        <f>201-6</f>
        <v>195</v>
      </c>
      <c r="B201" s="68"/>
      <c r="C201" s="68"/>
      <c r="D201" s="68"/>
      <c r="E201" s="68"/>
      <c r="F201" s="68"/>
      <c r="G201" s="68"/>
      <c r="H201" s="68" t="s">
        <v>406</v>
      </c>
      <c r="I201" s="73">
        <f t="shared" si="219"/>
        <v>4.6</v>
      </c>
      <c r="J201" s="73"/>
      <c r="K201" s="73">
        <v>4.6</v>
      </c>
      <c r="L201" s="73"/>
      <c r="M201" s="73"/>
      <c r="N201" s="73">
        <f t="shared" si="221"/>
        <v>4.6</v>
      </c>
      <c r="O201" s="73">
        <v>4.6</v>
      </c>
      <c r="P201" s="73"/>
      <c r="Q201" s="73"/>
      <c r="R201" s="73"/>
      <c r="S201" s="73"/>
      <c r="T201" s="73">
        <f t="shared" si="223"/>
        <v>0</v>
      </c>
      <c r="U201" s="73"/>
      <c r="V201" s="73"/>
      <c r="W201" s="73"/>
      <c r="X201" s="73"/>
      <c r="Y201" s="73"/>
      <c r="Z201" s="73"/>
      <c r="AA201" s="80"/>
      <c r="AB201" s="73"/>
    </row>
    <row r="202" ht="26.25" customHeight="1" spans="1:28">
      <c r="A202" s="67">
        <f>202-6</f>
        <v>196</v>
      </c>
      <c r="B202" s="68"/>
      <c r="C202" s="68"/>
      <c r="D202" s="68"/>
      <c r="E202" s="68"/>
      <c r="F202" s="68"/>
      <c r="G202" s="68"/>
      <c r="H202" s="68" t="s">
        <v>407</v>
      </c>
      <c r="I202" s="73">
        <f t="shared" si="219"/>
        <v>69</v>
      </c>
      <c r="J202" s="73"/>
      <c r="K202" s="73">
        <v>69</v>
      </c>
      <c r="L202" s="73"/>
      <c r="M202" s="73"/>
      <c r="N202" s="73">
        <f t="shared" si="221"/>
        <v>69</v>
      </c>
      <c r="O202" s="73">
        <v>69</v>
      </c>
      <c r="P202" s="73"/>
      <c r="Q202" s="73"/>
      <c r="R202" s="73"/>
      <c r="S202" s="73"/>
      <c r="T202" s="73">
        <f t="shared" si="223"/>
        <v>0</v>
      </c>
      <c r="U202" s="73"/>
      <c r="V202" s="73"/>
      <c r="W202" s="73"/>
      <c r="X202" s="73"/>
      <c r="Y202" s="73"/>
      <c r="Z202" s="73"/>
      <c r="AA202" s="80"/>
      <c r="AB202" s="73"/>
    </row>
    <row r="203" ht="26.25" customHeight="1" spans="1:28">
      <c r="A203" s="67">
        <f>203-6</f>
        <v>197</v>
      </c>
      <c r="B203" s="68"/>
      <c r="C203" s="68"/>
      <c r="D203" s="68"/>
      <c r="E203" s="68"/>
      <c r="F203" s="68"/>
      <c r="G203" s="68"/>
      <c r="H203" s="68" t="s">
        <v>408</v>
      </c>
      <c r="I203" s="73">
        <f t="shared" si="219"/>
        <v>9.936</v>
      </c>
      <c r="J203" s="73"/>
      <c r="K203" s="73">
        <v>9.936</v>
      </c>
      <c r="L203" s="73"/>
      <c r="M203" s="73"/>
      <c r="N203" s="73">
        <f t="shared" si="221"/>
        <v>9.936</v>
      </c>
      <c r="O203" s="73">
        <v>9.936</v>
      </c>
      <c r="P203" s="73"/>
      <c r="Q203" s="73"/>
      <c r="R203" s="73"/>
      <c r="S203" s="73"/>
      <c r="T203" s="73">
        <f t="shared" si="223"/>
        <v>0</v>
      </c>
      <c r="U203" s="73"/>
      <c r="V203" s="73"/>
      <c r="W203" s="73"/>
      <c r="X203" s="73"/>
      <c r="Y203" s="73"/>
      <c r="Z203" s="73"/>
      <c r="AA203" s="80"/>
      <c r="AB203" s="73"/>
    </row>
    <row r="204" ht="26.25" customHeight="1" spans="1:28">
      <c r="A204" s="67">
        <f>204-6</f>
        <v>198</v>
      </c>
      <c r="B204" s="68"/>
      <c r="C204" s="68"/>
      <c r="D204" s="68"/>
      <c r="E204" s="68"/>
      <c r="F204" s="68" t="s">
        <v>412</v>
      </c>
      <c r="G204" s="68"/>
      <c r="H204" s="68"/>
      <c r="I204" s="73">
        <f t="shared" si="219"/>
        <v>7</v>
      </c>
      <c r="J204" s="73">
        <f t="shared" ref="J204:M204" si="225">SUM(J205)</f>
        <v>0</v>
      </c>
      <c r="K204" s="73">
        <f t="shared" si="225"/>
        <v>7</v>
      </c>
      <c r="L204" s="73">
        <f t="shared" si="225"/>
        <v>0</v>
      </c>
      <c r="M204" s="73">
        <f t="shared" si="225"/>
        <v>0</v>
      </c>
      <c r="N204" s="73">
        <f t="shared" si="221"/>
        <v>7</v>
      </c>
      <c r="O204" s="73">
        <f t="shared" ref="O204:S204" si="226">SUM(O205)</f>
        <v>7</v>
      </c>
      <c r="P204" s="73">
        <f t="shared" si="226"/>
        <v>0</v>
      </c>
      <c r="Q204" s="73">
        <f t="shared" si="226"/>
        <v>0</v>
      </c>
      <c r="R204" s="73">
        <f t="shared" si="226"/>
        <v>0</v>
      </c>
      <c r="S204" s="73">
        <f t="shared" si="226"/>
        <v>0</v>
      </c>
      <c r="T204" s="73">
        <f t="shared" si="223"/>
        <v>0</v>
      </c>
      <c r="U204" s="73">
        <f t="shared" ref="U204:AA204" si="227">SUM(U205)</f>
        <v>0</v>
      </c>
      <c r="V204" s="73">
        <f t="shared" si="227"/>
        <v>0</v>
      </c>
      <c r="W204" s="73">
        <f t="shared" si="227"/>
        <v>0</v>
      </c>
      <c r="X204" s="73">
        <f t="shared" si="227"/>
        <v>0</v>
      </c>
      <c r="Y204" s="73">
        <f t="shared" si="227"/>
        <v>0</v>
      </c>
      <c r="Z204" s="73">
        <f t="shared" si="227"/>
        <v>0</v>
      </c>
      <c r="AA204" s="80">
        <f t="shared" si="227"/>
        <v>0</v>
      </c>
      <c r="AB204" s="81" t="s">
        <v>245</v>
      </c>
    </row>
    <row r="205" ht="26.25" customHeight="1" spans="1:28">
      <c r="A205" s="67">
        <f>205-6</f>
        <v>199</v>
      </c>
      <c r="B205" s="68"/>
      <c r="C205" s="68"/>
      <c r="D205" s="68"/>
      <c r="E205" s="68"/>
      <c r="F205" s="68"/>
      <c r="G205" s="68" t="s">
        <v>413</v>
      </c>
      <c r="H205" s="68"/>
      <c r="I205" s="73">
        <f t="shared" si="219"/>
        <v>7</v>
      </c>
      <c r="J205" s="73">
        <f t="shared" ref="J205:M205" si="228">SUM(J206:J207)</f>
        <v>0</v>
      </c>
      <c r="K205" s="73">
        <f t="shared" si="228"/>
        <v>7</v>
      </c>
      <c r="L205" s="73">
        <f t="shared" si="228"/>
        <v>0</v>
      </c>
      <c r="M205" s="73">
        <f t="shared" si="228"/>
        <v>0</v>
      </c>
      <c r="N205" s="73">
        <f t="shared" si="221"/>
        <v>7</v>
      </c>
      <c r="O205" s="73">
        <f t="shared" ref="O205:S205" si="229">SUM(O206:O207)</f>
        <v>7</v>
      </c>
      <c r="P205" s="73">
        <f t="shared" si="229"/>
        <v>0</v>
      </c>
      <c r="Q205" s="73">
        <f t="shared" si="229"/>
        <v>0</v>
      </c>
      <c r="R205" s="73">
        <f t="shared" si="229"/>
        <v>0</v>
      </c>
      <c r="S205" s="73">
        <f t="shared" si="229"/>
        <v>0</v>
      </c>
      <c r="T205" s="73">
        <f t="shared" si="223"/>
        <v>0</v>
      </c>
      <c r="U205" s="73">
        <f t="shared" ref="U205:AA205" si="230">SUM(U206:U207)</f>
        <v>0</v>
      </c>
      <c r="V205" s="73">
        <f t="shared" si="230"/>
        <v>0</v>
      </c>
      <c r="W205" s="73">
        <f t="shared" si="230"/>
        <v>0</v>
      </c>
      <c r="X205" s="73">
        <f t="shared" si="230"/>
        <v>0</v>
      </c>
      <c r="Y205" s="73">
        <f t="shared" si="230"/>
        <v>0</v>
      </c>
      <c r="Z205" s="73">
        <f t="shared" si="230"/>
        <v>0</v>
      </c>
      <c r="AA205" s="80">
        <f t="shared" si="230"/>
        <v>0</v>
      </c>
      <c r="AB205" s="73"/>
    </row>
    <row r="206" ht="26.25" customHeight="1" spans="1:28">
      <c r="A206" s="67">
        <f>206-6</f>
        <v>200</v>
      </c>
      <c r="B206" s="68"/>
      <c r="C206" s="68"/>
      <c r="D206" s="68"/>
      <c r="E206" s="68"/>
      <c r="F206" s="68"/>
      <c r="G206" s="68"/>
      <c r="H206" s="68" t="s">
        <v>414</v>
      </c>
      <c r="I206" s="73">
        <f t="shared" si="219"/>
        <v>2</v>
      </c>
      <c r="J206" s="73"/>
      <c r="K206" s="73">
        <v>2</v>
      </c>
      <c r="L206" s="73"/>
      <c r="M206" s="73"/>
      <c r="N206" s="73">
        <f t="shared" si="221"/>
        <v>2</v>
      </c>
      <c r="O206" s="73">
        <v>2</v>
      </c>
      <c r="P206" s="73"/>
      <c r="Q206" s="73"/>
      <c r="R206" s="73"/>
      <c r="S206" s="73"/>
      <c r="T206" s="73">
        <f t="shared" si="223"/>
        <v>0</v>
      </c>
      <c r="U206" s="73"/>
      <c r="V206" s="73"/>
      <c r="W206" s="73"/>
      <c r="X206" s="73"/>
      <c r="Y206" s="73"/>
      <c r="Z206" s="73"/>
      <c r="AA206" s="80"/>
      <c r="AB206" s="73"/>
    </row>
    <row r="207" ht="26.25" customHeight="1" spans="1:28">
      <c r="A207" s="67">
        <f>207-6</f>
        <v>201</v>
      </c>
      <c r="B207" s="68"/>
      <c r="C207" s="68"/>
      <c r="D207" s="68"/>
      <c r="E207" s="68"/>
      <c r="F207" s="68"/>
      <c r="G207" s="68"/>
      <c r="H207" s="68" t="s">
        <v>415</v>
      </c>
      <c r="I207" s="73">
        <f t="shared" si="219"/>
        <v>5</v>
      </c>
      <c r="J207" s="73"/>
      <c r="K207" s="73">
        <v>5</v>
      </c>
      <c r="L207" s="73"/>
      <c r="M207" s="73"/>
      <c r="N207" s="73">
        <f t="shared" si="221"/>
        <v>5</v>
      </c>
      <c r="O207" s="73">
        <v>5</v>
      </c>
      <c r="P207" s="73"/>
      <c r="Q207" s="73"/>
      <c r="R207" s="73"/>
      <c r="S207" s="73"/>
      <c r="T207" s="73">
        <f t="shared" si="223"/>
        <v>0</v>
      </c>
      <c r="U207" s="73"/>
      <c r="V207" s="73"/>
      <c r="W207" s="73"/>
      <c r="X207" s="73"/>
      <c r="Y207" s="73"/>
      <c r="Z207" s="73"/>
      <c r="AA207" s="80"/>
      <c r="AB207" s="73"/>
    </row>
    <row r="208" ht="26.25" customHeight="1" spans="1:28">
      <c r="A208" s="67">
        <f>208-6</f>
        <v>202</v>
      </c>
      <c r="B208" s="68"/>
      <c r="C208" s="68"/>
      <c r="D208" s="68"/>
      <c r="E208" s="68"/>
      <c r="F208" s="68" t="s">
        <v>416</v>
      </c>
      <c r="G208" s="68"/>
      <c r="H208" s="68"/>
      <c r="I208" s="73">
        <f t="shared" si="219"/>
        <v>12</v>
      </c>
      <c r="J208" s="73">
        <f t="shared" ref="J208:M208" si="231">SUM(J209)</f>
        <v>0</v>
      </c>
      <c r="K208" s="73">
        <f t="shared" si="231"/>
        <v>12</v>
      </c>
      <c r="L208" s="73">
        <f t="shared" si="231"/>
        <v>0</v>
      </c>
      <c r="M208" s="73">
        <f t="shared" si="231"/>
        <v>0</v>
      </c>
      <c r="N208" s="73">
        <f t="shared" si="221"/>
        <v>12</v>
      </c>
      <c r="O208" s="73">
        <f t="shared" ref="O208:S208" si="232">SUM(O209)</f>
        <v>12</v>
      </c>
      <c r="P208" s="73">
        <f t="shared" si="232"/>
        <v>0</v>
      </c>
      <c r="Q208" s="73">
        <f t="shared" si="232"/>
        <v>0</v>
      </c>
      <c r="R208" s="73">
        <f t="shared" si="232"/>
        <v>0</v>
      </c>
      <c r="S208" s="73">
        <f t="shared" si="232"/>
        <v>0</v>
      </c>
      <c r="T208" s="73">
        <f t="shared" si="223"/>
        <v>0</v>
      </c>
      <c r="U208" s="73">
        <f t="shared" ref="U208:AA208" si="233">SUM(U209)</f>
        <v>0</v>
      </c>
      <c r="V208" s="73">
        <f t="shared" si="233"/>
        <v>0</v>
      </c>
      <c r="W208" s="73">
        <f t="shared" si="233"/>
        <v>0</v>
      </c>
      <c r="X208" s="73">
        <f t="shared" si="233"/>
        <v>0</v>
      </c>
      <c r="Y208" s="73">
        <f t="shared" si="233"/>
        <v>0</v>
      </c>
      <c r="Z208" s="73">
        <f t="shared" si="233"/>
        <v>0</v>
      </c>
      <c r="AA208" s="80">
        <f t="shared" si="233"/>
        <v>0</v>
      </c>
      <c r="AB208" s="81" t="s">
        <v>245</v>
      </c>
    </row>
    <row r="209" ht="26.25" customHeight="1" spans="1:28">
      <c r="A209" s="67">
        <f>209-6</f>
        <v>203</v>
      </c>
      <c r="B209" s="68"/>
      <c r="C209" s="68"/>
      <c r="D209" s="68"/>
      <c r="E209" s="68"/>
      <c r="F209" s="68"/>
      <c r="G209" s="68" t="s">
        <v>417</v>
      </c>
      <c r="H209" s="68"/>
      <c r="I209" s="73">
        <f t="shared" si="219"/>
        <v>12</v>
      </c>
      <c r="J209" s="73">
        <f t="shared" ref="J209:M209" si="234">SUM(J210:J213)</f>
        <v>0</v>
      </c>
      <c r="K209" s="73">
        <f t="shared" si="234"/>
        <v>12</v>
      </c>
      <c r="L209" s="73">
        <f t="shared" si="234"/>
        <v>0</v>
      </c>
      <c r="M209" s="73">
        <f t="shared" si="234"/>
        <v>0</v>
      </c>
      <c r="N209" s="73">
        <f t="shared" si="221"/>
        <v>12</v>
      </c>
      <c r="O209" s="73">
        <f t="shared" ref="O209:S209" si="235">SUM(O210:O213)</f>
        <v>12</v>
      </c>
      <c r="P209" s="73">
        <f t="shared" si="235"/>
        <v>0</v>
      </c>
      <c r="Q209" s="73">
        <f t="shared" si="235"/>
        <v>0</v>
      </c>
      <c r="R209" s="73">
        <f t="shared" si="235"/>
        <v>0</v>
      </c>
      <c r="S209" s="73">
        <f t="shared" si="235"/>
        <v>0</v>
      </c>
      <c r="T209" s="73">
        <f t="shared" si="223"/>
        <v>0</v>
      </c>
      <c r="U209" s="73">
        <f t="shared" ref="U209:AA209" si="236">SUM(U210:U213)</f>
        <v>0</v>
      </c>
      <c r="V209" s="73">
        <f t="shared" si="236"/>
        <v>0</v>
      </c>
      <c r="W209" s="73">
        <f t="shared" si="236"/>
        <v>0</v>
      </c>
      <c r="X209" s="73">
        <f t="shared" si="236"/>
        <v>0</v>
      </c>
      <c r="Y209" s="73">
        <f t="shared" si="236"/>
        <v>0</v>
      </c>
      <c r="Z209" s="73">
        <f t="shared" si="236"/>
        <v>0</v>
      </c>
      <c r="AA209" s="80">
        <f t="shared" si="236"/>
        <v>0</v>
      </c>
      <c r="AB209" s="73"/>
    </row>
    <row r="210" ht="26.25" customHeight="1" spans="1:28">
      <c r="A210" s="67">
        <f>210-6</f>
        <v>204</v>
      </c>
      <c r="B210" s="68"/>
      <c r="C210" s="68"/>
      <c r="D210" s="68"/>
      <c r="E210" s="68"/>
      <c r="F210" s="68"/>
      <c r="G210" s="68"/>
      <c r="H210" s="68" t="s">
        <v>418</v>
      </c>
      <c r="I210" s="73">
        <f t="shared" si="219"/>
        <v>3</v>
      </c>
      <c r="J210" s="73"/>
      <c r="K210" s="73">
        <v>3</v>
      </c>
      <c r="L210" s="73"/>
      <c r="M210" s="73"/>
      <c r="N210" s="73">
        <f t="shared" si="221"/>
        <v>3</v>
      </c>
      <c r="O210" s="73">
        <v>3</v>
      </c>
      <c r="P210" s="73"/>
      <c r="Q210" s="73"/>
      <c r="R210" s="73"/>
      <c r="S210" s="73"/>
      <c r="T210" s="73">
        <f t="shared" si="223"/>
        <v>0</v>
      </c>
      <c r="U210" s="73"/>
      <c r="V210" s="73"/>
      <c r="W210" s="73"/>
      <c r="X210" s="73"/>
      <c r="Y210" s="73"/>
      <c r="Z210" s="73"/>
      <c r="AA210" s="80"/>
      <c r="AB210" s="73"/>
    </row>
    <row r="211" ht="26.25" customHeight="1" spans="1:28">
      <c r="A211" s="67">
        <f>211-6</f>
        <v>205</v>
      </c>
      <c r="B211" s="68"/>
      <c r="C211" s="68"/>
      <c r="D211" s="68"/>
      <c r="E211" s="68"/>
      <c r="F211" s="68"/>
      <c r="G211" s="68"/>
      <c r="H211" s="68" t="s">
        <v>419</v>
      </c>
      <c r="I211" s="73">
        <f t="shared" si="219"/>
        <v>3</v>
      </c>
      <c r="J211" s="73"/>
      <c r="K211" s="73">
        <v>3</v>
      </c>
      <c r="L211" s="73"/>
      <c r="M211" s="73"/>
      <c r="N211" s="73">
        <f t="shared" si="221"/>
        <v>3</v>
      </c>
      <c r="O211" s="73">
        <v>3</v>
      </c>
      <c r="P211" s="73"/>
      <c r="Q211" s="73"/>
      <c r="R211" s="73"/>
      <c r="S211" s="73"/>
      <c r="T211" s="73">
        <f t="shared" si="223"/>
        <v>0</v>
      </c>
      <c r="U211" s="73"/>
      <c r="V211" s="73"/>
      <c r="W211" s="73"/>
      <c r="X211" s="73"/>
      <c r="Y211" s="73"/>
      <c r="Z211" s="73"/>
      <c r="AA211" s="80"/>
      <c r="AB211" s="73"/>
    </row>
    <row r="212" ht="26.25" customHeight="1" spans="1:28">
      <c r="A212" s="67">
        <f>212-6</f>
        <v>206</v>
      </c>
      <c r="B212" s="68"/>
      <c r="C212" s="68"/>
      <c r="D212" s="68"/>
      <c r="E212" s="68"/>
      <c r="F212" s="68"/>
      <c r="G212" s="68"/>
      <c r="H212" s="68" t="s">
        <v>420</v>
      </c>
      <c r="I212" s="73">
        <f t="shared" si="219"/>
        <v>3</v>
      </c>
      <c r="J212" s="73"/>
      <c r="K212" s="73">
        <v>3</v>
      </c>
      <c r="L212" s="73"/>
      <c r="M212" s="73"/>
      <c r="N212" s="73">
        <f t="shared" si="221"/>
        <v>3</v>
      </c>
      <c r="O212" s="73">
        <v>3</v>
      </c>
      <c r="P212" s="73"/>
      <c r="Q212" s="73"/>
      <c r="R212" s="73"/>
      <c r="S212" s="73"/>
      <c r="T212" s="73">
        <f t="shared" si="223"/>
        <v>0</v>
      </c>
      <c r="U212" s="73"/>
      <c r="V212" s="73"/>
      <c r="W212" s="73"/>
      <c r="X212" s="73"/>
      <c r="Y212" s="73"/>
      <c r="Z212" s="73"/>
      <c r="AA212" s="80"/>
      <c r="AB212" s="73"/>
    </row>
    <row r="213" ht="26.25" customHeight="1" spans="1:28">
      <c r="A213" s="67">
        <f>213-6</f>
        <v>207</v>
      </c>
      <c r="B213" s="68"/>
      <c r="C213" s="68"/>
      <c r="D213" s="68"/>
      <c r="E213" s="68"/>
      <c r="F213" s="68"/>
      <c r="G213" s="68"/>
      <c r="H213" s="68" t="s">
        <v>421</v>
      </c>
      <c r="I213" s="73">
        <f t="shared" si="219"/>
        <v>3</v>
      </c>
      <c r="J213" s="73"/>
      <c r="K213" s="73">
        <v>3</v>
      </c>
      <c r="L213" s="73"/>
      <c r="M213" s="73"/>
      <c r="N213" s="73">
        <f t="shared" si="221"/>
        <v>3</v>
      </c>
      <c r="O213" s="73">
        <v>3</v>
      </c>
      <c r="P213" s="73"/>
      <c r="Q213" s="73"/>
      <c r="R213" s="73"/>
      <c r="S213" s="73"/>
      <c r="T213" s="73">
        <f t="shared" si="223"/>
        <v>0</v>
      </c>
      <c r="U213" s="73"/>
      <c r="V213" s="73"/>
      <c r="W213" s="73"/>
      <c r="X213" s="73"/>
      <c r="Y213" s="73"/>
      <c r="Z213" s="73"/>
      <c r="AA213" s="80"/>
      <c r="AB213" s="73"/>
    </row>
    <row r="214" ht="26.25" customHeight="1" spans="1:28">
      <c r="A214" s="67">
        <f>214-6</f>
        <v>208</v>
      </c>
      <c r="B214" s="68"/>
      <c r="C214" s="68"/>
      <c r="D214" s="68"/>
      <c r="E214" s="68"/>
      <c r="F214" s="68" t="s">
        <v>422</v>
      </c>
      <c r="G214" s="68"/>
      <c r="H214" s="68"/>
      <c r="I214" s="73">
        <f t="shared" si="219"/>
        <v>1692.82</v>
      </c>
      <c r="J214" s="73">
        <f t="shared" ref="J214:M214" si="237">SUM(J215,J220,J228,J236)</f>
        <v>0</v>
      </c>
      <c r="K214" s="73">
        <f t="shared" si="237"/>
        <v>1692.82</v>
      </c>
      <c r="L214" s="73">
        <f t="shared" si="237"/>
        <v>0</v>
      </c>
      <c r="M214" s="73">
        <f t="shared" si="237"/>
        <v>0</v>
      </c>
      <c r="N214" s="73">
        <f t="shared" si="221"/>
        <v>1692.82</v>
      </c>
      <c r="O214" s="73">
        <f t="shared" ref="O214:S214" si="238">SUM(O215,O220,O228,O236)</f>
        <v>1692.82</v>
      </c>
      <c r="P214" s="73">
        <f t="shared" si="238"/>
        <v>0</v>
      </c>
      <c r="Q214" s="73">
        <f t="shared" si="238"/>
        <v>0</v>
      </c>
      <c r="R214" s="73">
        <f t="shared" si="238"/>
        <v>0</v>
      </c>
      <c r="S214" s="73">
        <f t="shared" si="238"/>
        <v>0</v>
      </c>
      <c r="T214" s="73">
        <f t="shared" si="223"/>
        <v>0</v>
      </c>
      <c r="U214" s="73">
        <f t="shared" ref="U214:AA214" si="239">SUM(U215,U220,U228,U236)</f>
        <v>0</v>
      </c>
      <c r="V214" s="73">
        <f t="shared" si="239"/>
        <v>0</v>
      </c>
      <c r="W214" s="73">
        <f t="shared" si="239"/>
        <v>0</v>
      </c>
      <c r="X214" s="73">
        <f t="shared" si="239"/>
        <v>0</v>
      </c>
      <c r="Y214" s="73">
        <f t="shared" si="239"/>
        <v>0</v>
      </c>
      <c r="Z214" s="73">
        <f t="shared" si="239"/>
        <v>0</v>
      </c>
      <c r="AA214" s="80">
        <f t="shared" si="239"/>
        <v>0</v>
      </c>
      <c r="AB214" s="81" t="s">
        <v>245</v>
      </c>
    </row>
    <row r="215" ht="26.25" customHeight="1" spans="1:28">
      <c r="A215" s="67">
        <f>215-6</f>
        <v>209</v>
      </c>
      <c r="B215" s="68"/>
      <c r="C215" s="68"/>
      <c r="D215" s="68"/>
      <c r="E215" s="68"/>
      <c r="F215" s="68"/>
      <c r="G215" s="68" t="s">
        <v>423</v>
      </c>
      <c r="H215" s="68"/>
      <c r="I215" s="73">
        <f t="shared" si="219"/>
        <v>136.65</v>
      </c>
      <c r="J215" s="73">
        <f t="shared" ref="J215:M215" si="240">SUM(J216:J219)</f>
        <v>0</v>
      </c>
      <c r="K215" s="73">
        <f t="shared" si="240"/>
        <v>136.65</v>
      </c>
      <c r="L215" s="73">
        <f t="shared" si="240"/>
        <v>0</v>
      </c>
      <c r="M215" s="73">
        <f t="shared" si="240"/>
        <v>0</v>
      </c>
      <c r="N215" s="73">
        <f t="shared" si="221"/>
        <v>136.65</v>
      </c>
      <c r="O215" s="73">
        <f t="shared" ref="O215:S215" si="241">SUM(O216:O219)</f>
        <v>136.65</v>
      </c>
      <c r="P215" s="73">
        <f t="shared" si="241"/>
        <v>0</v>
      </c>
      <c r="Q215" s="73">
        <f t="shared" si="241"/>
        <v>0</v>
      </c>
      <c r="R215" s="73">
        <f t="shared" si="241"/>
        <v>0</v>
      </c>
      <c r="S215" s="73">
        <f t="shared" si="241"/>
        <v>0</v>
      </c>
      <c r="T215" s="73">
        <f t="shared" si="223"/>
        <v>0</v>
      </c>
      <c r="U215" s="73">
        <f t="shared" ref="U215:AA215" si="242">SUM(U216:U219)</f>
        <v>0</v>
      </c>
      <c r="V215" s="73">
        <f t="shared" si="242"/>
        <v>0</v>
      </c>
      <c r="W215" s="73">
        <f t="shared" si="242"/>
        <v>0</v>
      </c>
      <c r="X215" s="73">
        <f t="shared" si="242"/>
        <v>0</v>
      </c>
      <c r="Y215" s="73">
        <f t="shared" si="242"/>
        <v>0</v>
      </c>
      <c r="Z215" s="73">
        <f t="shared" si="242"/>
        <v>0</v>
      </c>
      <c r="AA215" s="80">
        <f t="shared" si="242"/>
        <v>0</v>
      </c>
      <c r="AB215" s="73"/>
    </row>
    <row r="216" ht="26.25" customHeight="1" spans="1:28">
      <c r="A216" s="67">
        <f>216-6</f>
        <v>210</v>
      </c>
      <c r="B216" s="68"/>
      <c r="C216" s="68"/>
      <c r="D216" s="68"/>
      <c r="E216" s="68"/>
      <c r="F216" s="68"/>
      <c r="G216" s="68"/>
      <c r="H216" s="68" t="s">
        <v>424</v>
      </c>
      <c r="I216" s="73">
        <f t="shared" si="219"/>
        <v>10</v>
      </c>
      <c r="J216" s="73"/>
      <c r="K216" s="73">
        <v>10</v>
      </c>
      <c r="L216" s="73"/>
      <c r="M216" s="73"/>
      <c r="N216" s="73">
        <f t="shared" si="221"/>
        <v>10</v>
      </c>
      <c r="O216" s="73">
        <v>10</v>
      </c>
      <c r="P216" s="73"/>
      <c r="Q216" s="73"/>
      <c r="R216" s="73"/>
      <c r="S216" s="73"/>
      <c r="T216" s="73">
        <f t="shared" si="223"/>
        <v>0</v>
      </c>
      <c r="U216" s="73"/>
      <c r="V216" s="73"/>
      <c r="W216" s="73"/>
      <c r="X216" s="73"/>
      <c r="Y216" s="73"/>
      <c r="Z216" s="73"/>
      <c r="AA216" s="80"/>
      <c r="AB216" s="73"/>
    </row>
    <row r="217" ht="26.25" customHeight="1" spans="1:28">
      <c r="A217" s="67">
        <f>217-6</f>
        <v>211</v>
      </c>
      <c r="B217" s="68"/>
      <c r="C217" s="68"/>
      <c r="D217" s="68"/>
      <c r="E217" s="68"/>
      <c r="F217" s="68"/>
      <c r="G217" s="68"/>
      <c r="H217" s="68" t="s">
        <v>425</v>
      </c>
      <c r="I217" s="73">
        <f t="shared" si="219"/>
        <v>105.37</v>
      </c>
      <c r="J217" s="73"/>
      <c r="K217" s="73">
        <v>105.37</v>
      </c>
      <c r="L217" s="73"/>
      <c r="M217" s="73"/>
      <c r="N217" s="73">
        <f t="shared" si="221"/>
        <v>105.37</v>
      </c>
      <c r="O217" s="73">
        <v>105.37</v>
      </c>
      <c r="P217" s="73"/>
      <c r="Q217" s="73"/>
      <c r="R217" s="73"/>
      <c r="S217" s="73"/>
      <c r="T217" s="73">
        <f t="shared" si="223"/>
        <v>0</v>
      </c>
      <c r="U217" s="73"/>
      <c r="V217" s="73"/>
      <c r="W217" s="73"/>
      <c r="X217" s="73"/>
      <c r="Y217" s="73"/>
      <c r="Z217" s="73"/>
      <c r="AA217" s="80"/>
      <c r="AB217" s="73"/>
    </row>
    <row r="218" ht="26.25" customHeight="1" spans="1:28">
      <c r="A218" s="67">
        <f>218-6</f>
        <v>212</v>
      </c>
      <c r="B218" s="68"/>
      <c r="C218" s="68"/>
      <c r="D218" s="68"/>
      <c r="E218" s="68"/>
      <c r="F218" s="68"/>
      <c r="G218" s="68"/>
      <c r="H218" s="68" t="s">
        <v>426</v>
      </c>
      <c r="I218" s="73">
        <f t="shared" si="219"/>
        <v>7.26</v>
      </c>
      <c r="J218" s="73"/>
      <c r="K218" s="73">
        <v>7.26</v>
      </c>
      <c r="L218" s="73"/>
      <c r="M218" s="73"/>
      <c r="N218" s="73">
        <f t="shared" si="221"/>
        <v>7.26</v>
      </c>
      <c r="O218" s="73">
        <v>7.26</v>
      </c>
      <c r="P218" s="73"/>
      <c r="Q218" s="73"/>
      <c r="R218" s="73"/>
      <c r="S218" s="73"/>
      <c r="T218" s="73">
        <f t="shared" si="223"/>
        <v>0</v>
      </c>
      <c r="U218" s="73"/>
      <c r="V218" s="73"/>
      <c r="W218" s="73"/>
      <c r="X218" s="73"/>
      <c r="Y218" s="73"/>
      <c r="Z218" s="73"/>
      <c r="AA218" s="80"/>
      <c r="AB218" s="73"/>
    </row>
    <row r="219" ht="26.25" customHeight="1" spans="1:28">
      <c r="A219" s="67">
        <f>219-6</f>
        <v>213</v>
      </c>
      <c r="B219" s="68"/>
      <c r="C219" s="68"/>
      <c r="D219" s="68"/>
      <c r="E219" s="68"/>
      <c r="F219" s="68"/>
      <c r="G219" s="68"/>
      <c r="H219" s="68" t="s">
        <v>427</v>
      </c>
      <c r="I219" s="73">
        <f t="shared" si="219"/>
        <v>14.02</v>
      </c>
      <c r="J219" s="73"/>
      <c r="K219" s="73">
        <v>14.02</v>
      </c>
      <c r="L219" s="73"/>
      <c r="M219" s="73"/>
      <c r="N219" s="73">
        <f t="shared" si="221"/>
        <v>14.02</v>
      </c>
      <c r="O219" s="73">
        <v>14.02</v>
      </c>
      <c r="P219" s="73"/>
      <c r="Q219" s="73"/>
      <c r="R219" s="73"/>
      <c r="S219" s="73"/>
      <c r="T219" s="73">
        <f t="shared" si="223"/>
        <v>0</v>
      </c>
      <c r="U219" s="73"/>
      <c r="V219" s="73"/>
      <c r="W219" s="73"/>
      <c r="X219" s="73"/>
      <c r="Y219" s="73"/>
      <c r="Z219" s="73"/>
      <c r="AA219" s="80"/>
      <c r="AB219" s="73"/>
    </row>
    <row r="220" ht="26.25" customHeight="1" spans="1:28">
      <c r="A220" s="67">
        <f>220-6</f>
        <v>214</v>
      </c>
      <c r="B220" s="68"/>
      <c r="C220" s="68"/>
      <c r="D220" s="68"/>
      <c r="E220" s="68"/>
      <c r="F220" s="68"/>
      <c r="G220" s="68" t="s">
        <v>428</v>
      </c>
      <c r="H220" s="68"/>
      <c r="I220" s="73">
        <f t="shared" si="219"/>
        <v>359</v>
      </c>
      <c r="J220" s="73">
        <f t="shared" ref="J220:M220" si="243">SUM(J221:J227)</f>
        <v>0</v>
      </c>
      <c r="K220" s="73">
        <f t="shared" si="243"/>
        <v>359</v>
      </c>
      <c r="L220" s="73">
        <f t="shared" si="243"/>
        <v>0</v>
      </c>
      <c r="M220" s="73">
        <f t="shared" si="243"/>
        <v>0</v>
      </c>
      <c r="N220" s="73">
        <f t="shared" si="221"/>
        <v>359</v>
      </c>
      <c r="O220" s="73">
        <f t="shared" ref="O220:S220" si="244">SUM(O221:O227)</f>
        <v>359</v>
      </c>
      <c r="P220" s="73">
        <f t="shared" si="244"/>
        <v>0</v>
      </c>
      <c r="Q220" s="73">
        <f t="shared" si="244"/>
        <v>0</v>
      </c>
      <c r="R220" s="73">
        <f t="shared" si="244"/>
        <v>0</v>
      </c>
      <c r="S220" s="73">
        <f t="shared" si="244"/>
        <v>0</v>
      </c>
      <c r="T220" s="73">
        <f t="shared" si="223"/>
        <v>0</v>
      </c>
      <c r="U220" s="73">
        <f t="shared" ref="U220:AA220" si="245">SUM(U221:U227)</f>
        <v>0</v>
      </c>
      <c r="V220" s="73">
        <f t="shared" si="245"/>
        <v>0</v>
      </c>
      <c r="W220" s="73">
        <f t="shared" si="245"/>
        <v>0</v>
      </c>
      <c r="X220" s="73">
        <f t="shared" si="245"/>
        <v>0</v>
      </c>
      <c r="Y220" s="73">
        <f t="shared" si="245"/>
        <v>0</v>
      </c>
      <c r="Z220" s="73">
        <f t="shared" si="245"/>
        <v>0</v>
      </c>
      <c r="AA220" s="80">
        <f t="shared" si="245"/>
        <v>0</v>
      </c>
      <c r="AB220" s="73"/>
    </row>
    <row r="221" ht="26.25" customHeight="1" spans="1:28">
      <c r="A221" s="67">
        <f>221-6</f>
        <v>215</v>
      </c>
      <c r="B221" s="68"/>
      <c r="C221" s="68"/>
      <c r="D221" s="68"/>
      <c r="E221" s="68"/>
      <c r="F221" s="68"/>
      <c r="G221" s="68"/>
      <c r="H221" s="68" t="s">
        <v>429</v>
      </c>
      <c r="I221" s="73">
        <f t="shared" si="219"/>
        <v>115</v>
      </c>
      <c r="J221" s="73"/>
      <c r="K221" s="73">
        <v>115</v>
      </c>
      <c r="L221" s="73"/>
      <c r="M221" s="73"/>
      <c r="N221" s="73">
        <f t="shared" si="221"/>
        <v>115</v>
      </c>
      <c r="O221" s="73">
        <v>115</v>
      </c>
      <c r="P221" s="73"/>
      <c r="Q221" s="73"/>
      <c r="R221" s="73"/>
      <c r="S221" s="73"/>
      <c r="T221" s="73">
        <f t="shared" si="223"/>
        <v>0</v>
      </c>
      <c r="U221" s="73"/>
      <c r="V221" s="73"/>
      <c r="W221" s="73"/>
      <c r="X221" s="73"/>
      <c r="Y221" s="73"/>
      <c r="Z221" s="73"/>
      <c r="AA221" s="80"/>
      <c r="AB221" s="73"/>
    </row>
    <row r="222" ht="26.25" customHeight="1" spans="1:28">
      <c r="A222" s="67">
        <f>222-6</f>
        <v>216</v>
      </c>
      <c r="B222" s="68"/>
      <c r="C222" s="68"/>
      <c r="D222" s="68"/>
      <c r="E222" s="68"/>
      <c r="F222" s="68"/>
      <c r="G222" s="68"/>
      <c r="H222" s="68" t="s">
        <v>430</v>
      </c>
      <c r="I222" s="73">
        <f t="shared" si="219"/>
        <v>35</v>
      </c>
      <c r="J222" s="73"/>
      <c r="K222" s="73">
        <v>35</v>
      </c>
      <c r="L222" s="73"/>
      <c r="M222" s="73"/>
      <c r="N222" s="73">
        <f t="shared" si="221"/>
        <v>35</v>
      </c>
      <c r="O222" s="73">
        <v>35</v>
      </c>
      <c r="P222" s="73"/>
      <c r="Q222" s="73"/>
      <c r="R222" s="73"/>
      <c r="S222" s="73"/>
      <c r="T222" s="73">
        <f t="shared" si="223"/>
        <v>0</v>
      </c>
      <c r="U222" s="73"/>
      <c r="V222" s="73"/>
      <c r="W222" s="73"/>
      <c r="X222" s="73"/>
      <c r="Y222" s="73"/>
      <c r="Z222" s="73"/>
      <c r="AA222" s="80"/>
      <c r="AB222" s="73"/>
    </row>
    <row r="223" ht="26.25" customHeight="1" spans="1:28">
      <c r="A223" s="67">
        <f>223-6</f>
        <v>217</v>
      </c>
      <c r="B223" s="68"/>
      <c r="C223" s="68"/>
      <c r="D223" s="68"/>
      <c r="E223" s="68"/>
      <c r="F223" s="68"/>
      <c r="G223" s="68"/>
      <c r="H223" s="68" t="s">
        <v>431</v>
      </c>
      <c r="I223" s="73">
        <f t="shared" si="219"/>
        <v>5</v>
      </c>
      <c r="J223" s="73"/>
      <c r="K223" s="73">
        <v>5</v>
      </c>
      <c r="L223" s="73"/>
      <c r="M223" s="73"/>
      <c r="N223" s="73">
        <f t="shared" si="221"/>
        <v>5</v>
      </c>
      <c r="O223" s="73">
        <v>5</v>
      </c>
      <c r="P223" s="73"/>
      <c r="Q223" s="73"/>
      <c r="R223" s="73"/>
      <c r="S223" s="73"/>
      <c r="T223" s="73">
        <f t="shared" si="223"/>
        <v>0</v>
      </c>
      <c r="U223" s="73"/>
      <c r="V223" s="73"/>
      <c r="W223" s="73"/>
      <c r="X223" s="73"/>
      <c r="Y223" s="73"/>
      <c r="Z223" s="73"/>
      <c r="AA223" s="80"/>
      <c r="AB223" s="73"/>
    </row>
    <row r="224" ht="26.25" customHeight="1" spans="1:28">
      <c r="A224" s="67">
        <f>224-6</f>
        <v>218</v>
      </c>
      <c r="B224" s="68"/>
      <c r="C224" s="68"/>
      <c r="D224" s="68"/>
      <c r="E224" s="68"/>
      <c r="F224" s="68"/>
      <c r="G224" s="68"/>
      <c r="H224" s="68" t="s">
        <v>432</v>
      </c>
      <c r="I224" s="73">
        <f t="shared" si="219"/>
        <v>49</v>
      </c>
      <c r="J224" s="73"/>
      <c r="K224" s="73">
        <v>49</v>
      </c>
      <c r="L224" s="73"/>
      <c r="M224" s="73"/>
      <c r="N224" s="73">
        <f t="shared" si="221"/>
        <v>49</v>
      </c>
      <c r="O224" s="73">
        <v>49</v>
      </c>
      <c r="P224" s="73"/>
      <c r="Q224" s="73"/>
      <c r="R224" s="73"/>
      <c r="S224" s="73"/>
      <c r="T224" s="73">
        <f t="shared" si="223"/>
        <v>0</v>
      </c>
      <c r="U224" s="73"/>
      <c r="V224" s="73"/>
      <c r="W224" s="73"/>
      <c r="X224" s="73"/>
      <c r="Y224" s="73"/>
      <c r="Z224" s="73"/>
      <c r="AA224" s="80"/>
      <c r="AB224" s="73"/>
    </row>
    <row r="225" ht="26.25" customHeight="1" spans="1:28">
      <c r="A225" s="67">
        <f>225-6</f>
        <v>219</v>
      </c>
      <c r="B225" s="68"/>
      <c r="C225" s="68"/>
      <c r="D225" s="68"/>
      <c r="E225" s="68"/>
      <c r="F225" s="68"/>
      <c r="G225" s="68"/>
      <c r="H225" s="68" t="s">
        <v>433</v>
      </c>
      <c r="I225" s="73">
        <f t="shared" si="219"/>
        <v>130</v>
      </c>
      <c r="J225" s="73"/>
      <c r="K225" s="73">
        <v>130</v>
      </c>
      <c r="L225" s="73"/>
      <c r="M225" s="73"/>
      <c r="N225" s="73">
        <f t="shared" si="221"/>
        <v>130</v>
      </c>
      <c r="O225" s="73">
        <v>130</v>
      </c>
      <c r="P225" s="73"/>
      <c r="Q225" s="73"/>
      <c r="R225" s="73"/>
      <c r="S225" s="73"/>
      <c r="T225" s="73">
        <f t="shared" si="223"/>
        <v>0</v>
      </c>
      <c r="U225" s="73"/>
      <c r="V225" s="73"/>
      <c r="W225" s="73"/>
      <c r="X225" s="73"/>
      <c r="Y225" s="73"/>
      <c r="Z225" s="73"/>
      <c r="AA225" s="80"/>
      <c r="AB225" s="73"/>
    </row>
    <row r="226" ht="26.25" customHeight="1" spans="1:28">
      <c r="A226" s="67">
        <f>226-6</f>
        <v>220</v>
      </c>
      <c r="B226" s="68"/>
      <c r="C226" s="68"/>
      <c r="D226" s="68"/>
      <c r="E226" s="68"/>
      <c r="F226" s="68"/>
      <c r="G226" s="68"/>
      <c r="H226" s="68" t="s">
        <v>434</v>
      </c>
      <c r="I226" s="73">
        <f t="shared" si="219"/>
        <v>10</v>
      </c>
      <c r="J226" s="73"/>
      <c r="K226" s="73">
        <v>10</v>
      </c>
      <c r="L226" s="73"/>
      <c r="M226" s="73"/>
      <c r="N226" s="73">
        <f t="shared" si="221"/>
        <v>10</v>
      </c>
      <c r="O226" s="73">
        <v>10</v>
      </c>
      <c r="P226" s="73"/>
      <c r="Q226" s="73"/>
      <c r="R226" s="73"/>
      <c r="S226" s="73"/>
      <c r="T226" s="73">
        <f t="shared" si="223"/>
        <v>0</v>
      </c>
      <c r="U226" s="73"/>
      <c r="V226" s="73"/>
      <c r="W226" s="73"/>
      <c r="X226" s="73"/>
      <c r="Y226" s="73"/>
      <c r="Z226" s="73"/>
      <c r="AA226" s="80"/>
      <c r="AB226" s="73"/>
    </row>
    <row r="227" ht="26.25" customHeight="1" spans="1:28">
      <c r="A227" s="67">
        <f>227-6</f>
        <v>221</v>
      </c>
      <c r="B227" s="68"/>
      <c r="C227" s="68"/>
      <c r="D227" s="68"/>
      <c r="E227" s="68"/>
      <c r="F227" s="68"/>
      <c r="G227" s="68"/>
      <c r="H227" s="68" t="s">
        <v>435</v>
      </c>
      <c r="I227" s="73">
        <f t="shared" si="219"/>
        <v>15</v>
      </c>
      <c r="J227" s="73"/>
      <c r="K227" s="73">
        <v>15</v>
      </c>
      <c r="L227" s="73"/>
      <c r="M227" s="73"/>
      <c r="N227" s="73">
        <f t="shared" si="221"/>
        <v>15</v>
      </c>
      <c r="O227" s="73">
        <v>15</v>
      </c>
      <c r="P227" s="73"/>
      <c r="Q227" s="73"/>
      <c r="R227" s="73"/>
      <c r="S227" s="73"/>
      <c r="T227" s="73">
        <f t="shared" si="223"/>
        <v>0</v>
      </c>
      <c r="U227" s="73"/>
      <c r="V227" s="73"/>
      <c r="W227" s="73"/>
      <c r="X227" s="73"/>
      <c r="Y227" s="73"/>
      <c r="Z227" s="73"/>
      <c r="AA227" s="80"/>
      <c r="AB227" s="73"/>
    </row>
    <row r="228" ht="26.25" customHeight="1" spans="1:28">
      <c r="A228" s="67">
        <f>228-6</f>
        <v>222</v>
      </c>
      <c r="B228" s="68"/>
      <c r="C228" s="68"/>
      <c r="D228" s="68"/>
      <c r="E228" s="68"/>
      <c r="F228" s="68"/>
      <c r="G228" s="68" t="s">
        <v>436</v>
      </c>
      <c r="H228" s="68"/>
      <c r="I228" s="73">
        <f t="shared" si="219"/>
        <v>547.85</v>
      </c>
      <c r="J228" s="73">
        <f t="shared" ref="J228:M228" si="246">SUM(J229:J235)</f>
        <v>0</v>
      </c>
      <c r="K228" s="73">
        <f t="shared" si="246"/>
        <v>547.85</v>
      </c>
      <c r="L228" s="73">
        <f t="shared" si="246"/>
        <v>0</v>
      </c>
      <c r="M228" s="73">
        <f t="shared" si="246"/>
        <v>0</v>
      </c>
      <c r="N228" s="73">
        <f t="shared" si="221"/>
        <v>547.85</v>
      </c>
      <c r="O228" s="73">
        <f t="shared" ref="O228:S228" si="247">SUM(O229:O235)</f>
        <v>547.85</v>
      </c>
      <c r="P228" s="73">
        <f t="shared" si="247"/>
        <v>0</v>
      </c>
      <c r="Q228" s="73">
        <f t="shared" si="247"/>
        <v>0</v>
      </c>
      <c r="R228" s="73">
        <f t="shared" si="247"/>
        <v>0</v>
      </c>
      <c r="S228" s="73">
        <f t="shared" si="247"/>
        <v>0</v>
      </c>
      <c r="T228" s="73">
        <f t="shared" si="223"/>
        <v>0</v>
      </c>
      <c r="U228" s="73">
        <f t="shared" ref="U228:AA228" si="248">SUM(U229:U235)</f>
        <v>0</v>
      </c>
      <c r="V228" s="73">
        <f t="shared" si="248"/>
        <v>0</v>
      </c>
      <c r="W228" s="73">
        <f t="shared" si="248"/>
        <v>0</v>
      </c>
      <c r="X228" s="73">
        <f t="shared" si="248"/>
        <v>0</v>
      </c>
      <c r="Y228" s="73">
        <f t="shared" si="248"/>
        <v>0</v>
      </c>
      <c r="Z228" s="73">
        <f t="shared" si="248"/>
        <v>0</v>
      </c>
      <c r="AA228" s="80">
        <f t="shared" si="248"/>
        <v>0</v>
      </c>
      <c r="AB228" s="73"/>
    </row>
    <row r="229" ht="26.25" customHeight="1" spans="1:28">
      <c r="A229" s="67">
        <f>229-6</f>
        <v>223</v>
      </c>
      <c r="B229" s="68"/>
      <c r="C229" s="68"/>
      <c r="D229" s="68"/>
      <c r="E229" s="68"/>
      <c r="F229" s="68"/>
      <c r="G229" s="68"/>
      <c r="H229" s="68" t="s">
        <v>437</v>
      </c>
      <c r="I229" s="73">
        <f t="shared" si="219"/>
        <v>95</v>
      </c>
      <c r="J229" s="73"/>
      <c r="K229" s="73">
        <v>95</v>
      </c>
      <c r="L229" s="73"/>
      <c r="M229" s="73"/>
      <c r="N229" s="73">
        <f t="shared" si="221"/>
        <v>95</v>
      </c>
      <c r="O229" s="73">
        <v>95</v>
      </c>
      <c r="P229" s="73"/>
      <c r="Q229" s="73"/>
      <c r="R229" s="73"/>
      <c r="S229" s="73"/>
      <c r="T229" s="73">
        <f t="shared" si="223"/>
        <v>0</v>
      </c>
      <c r="U229" s="73"/>
      <c r="V229" s="73"/>
      <c r="W229" s="73"/>
      <c r="X229" s="73"/>
      <c r="Y229" s="73"/>
      <c r="Z229" s="73"/>
      <c r="AA229" s="80"/>
      <c r="AB229" s="73"/>
    </row>
    <row r="230" ht="26.25" customHeight="1" spans="1:28">
      <c r="A230" s="67">
        <f>230-6</f>
        <v>224</v>
      </c>
      <c r="B230" s="68"/>
      <c r="C230" s="68"/>
      <c r="D230" s="68"/>
      <c r="E230" s="68"/>
      <c r="F230" s="68"/>
      <c r="G230" s="68"/>
      <c r="H230" s="68" t="s">
        <v>438</v>
      </c>
      <c r="I230" s="73">
        <f t="shared" si="219"/>
        <v>10</v>
      </c>
      <c r="J230" s="73"/>
      <c r="K230" s="73">
        <v>10</v>
      </c>
      <c r="L230" s="73"/>
      <c r="M230" s="73"/>
      <c r="N230" s="73">
        <f t="shared" si="221"/>
        <v>10</v>
      </c>
      <c r="O230" s="73">
        <v>10</v>
      </c>
      <c r="P230" s="73"/>
      <c r="Q230" s="73"/>
      <c r="R230" s="73"/>
      <c r="S230" s="73"/>
      <c r="T230" s="73">
        <f t="shared" si="223"/>
        <v>0</v>
      </c>
      <c r="U230" s="73"/>
      <c r="V230" s="73"/>
      <c r="W230" s="73"/>
      <c r="X230" s="73"/>
      <c r="Y230" s="73"/>
      <c r="Z230" s="73"/>
      <c r="AA230" s="80"/>
      <c r="AB230" s="73"/>
    </row>
    <row r="231" ht="26.25" customHeight="1" spans="1:28">
      <c r="A231" s="67">
        <f>231-6</f>
        <v>225</v>
      </c>
      <c r="B231" s="68"/>
      <c r="C231" s="68"/>
      <c r="D231" s="68"/>
      <c r="E231" s="68"/>
      <c r="F231" s="68"/>
      <c r="G231" s="68"/>
      <c r="H231" s="68" t="s">
        <v>439</v>
      </c>
      <c r="I231" s="73">
        <f t="shared" si="219"/>
        <v>0.6</v>
      </c>
      <c r="J231" s="73"/>
      <c r="K231" s="73">
        <v>0.6</v>
      </c>
      <c r="L231" s="73"/>
      <c r="M231" s="73"/>
      <c r="N231" s="73">
        <f t="shared" si="221"/>
        <v>0.6</v>
      </c>
      <c r="O231" s="73">
        <v>0.6</v>
      </c>
      <c r="P231" s="73"/>
      <c r="Q231" s="73"/>
      <c r="R231" s="73"/>
      <c r="S231" s="73"/>
      <c r="T231" s="73">
        <f t="shared" si="223"/>
        <v>0</v>
      </c>
      <c r="U231" s="73"/>
      <c r="V231" s="73"/>
      <c r="W231" s="73"/>
      <c r="X231" s="73"/>
      <c r="Y231" s="73"/>
      <c r="Z231" s="73"/>
      <c r="AA231" s="80"/>
      <c r="AB231" s="73"/>
    </row>
    <row r="232" ht="26.25" customHeight="1" spans="1:28">
      <c r="A232" s="67">
        <f>232-6</f>
        <v>226</v>
      </c>
      <c r="B232" s="68"/>
      <c r="C232" s="68"/>
      <c r="D232" s="68"/>
      <c r="E232" s="68"/>
      <c r="F232" s="68"/>
      <c r="G232" s="68"/>
      <c r="H232" s="68" t="s">
        <v>440</v>
      </c>
      <c r="I232" s="73">
        <f t="shared" si="219"/>
        <v>49</v>
      </c>
      <c r="J232" s="73"/>
      <c r="K232" s="73">
        <v>49</v>
      </c>
      <c r="L232" s="73"/>
      <c r="M232" s="73"/>
      <c r="N232" s="73">
        <f t="shared" si="221"/>
        <v>49</v>
      </c>
      <c r="O232" s="73">
        <v>49</v>
      </c>
      <c r="P232" s="73"/>
      <c r="Q232" s="73"/>
      <c r="R232" s="73"/>
      <c r="S232" s="73"/>
      <c r="T232" s="73">
        <f t="shared" si="223"/>
        <v>0</v>
      </c>
      <c r="U232" s="73"/>
      <c r="V232" s="73"/>
      <c r="W232" s="73"/>
      <c r="X232" s="73"/>
      <c r="Y232" s="73"/>
      <c r="Z232" s="73"/>
      <c r="AA232" s="80"/>
      <c r="AB232" s="73"/>
    </row>
    <row r="233" ht="26.25" customHeight="1" spans="1:28">
      <c r="A233" s="67">
        <f>233-6</f>
        <v>227</v>
      </c>
      <c r="B233" s="68"/>
      <c r="C233" s="68"/>
      <c r="D233" s="68"/>
      <c r="E233" s="68"/>
      <c r="F233" s="68"/>
      <c r="G233" s="68"/>
      <c r="H233" s="68" t="s">
        <v>441</v>
      </c>
      <c r="I233" s="73">
        <f t="shared" si="219"/>
        <v>15</v>
      </c>
      <c r="J233" s="73"/>
      <c r="K233" s="73">
        <v>15</v>
      </c>
      <c r="L233" s="73"/>
      <c r="M233" s="73"/>
      <c r="N233" s="73">
        <f t="shared" si="221"/>
        <v>15</v>
      </c>
      <c r="O233" s="73">
        <v>15</v>
      </c>
      <c r="P233" s="73"/>
      <c r="Q233" s="73"/>
      <c r="R233" s="73"/>
      <c r="S233" s="73"/>
      <c r="T233" s="73">
        <f t="shared" si="223"/>
        <v>0</v>
      </c>
      <c r="U233" s="73"/>
      <c r="V233" s="73"/>
      <c r="W233" s="73"/>
      <c r="X233" s="73"/>
      <c r="Y233" s="73"/>
      <c r="Z233" s="73"/>
      <c r="AA233" s="80"/>
      <c r="AB233" s="73"/>
    </row>
    <row r="234" ht="26.25" customHeight="1" spans="1:28">
      <c r="A234" s="67">
        <f>234-6</f>
        <v>228</v>
      </c>
      <c r="B234" s="68"/>
      <c r="C234" s="68"/>
      <c r="D234" s="68"/>
      <c r="E234" s="68"/>
      <c r="F234" s="68"/>
      <c r="G234" s="68"/>
      <c r="H234" s="68" t="s">
        <v>442</v>
      </c>
      <c r="I234" s="73">
        <f t="shared" si="219"/>
        <v>288.25</v>
      </c>
      <c r="J234" s="73"/>
      <c r="K234" s="73">
        <v>288.25</v>
      </c>
      <c r="L234" s="73"/>
      <c r="M234" s="73"/>
      <c r="N234" s="73">
        <f t="shared" si="221"/>
        <v>288.25</v>
      </c>
      <c r="O234" s="73">
        <v>288.25</v>
      </c>
      <c r="P234" s="73"/>
      <c r="Q234" s="73"/>
      <c r="R234" s="73"/>
      <c r="S234" s="73"/>
      <c r="T234" s="73">
        <f t="shared" si="223"/>
        <v>0</v>
      </c>
      <c r="U234" s="73"/>
      <c r="V234" s="73"/>
      <c r="W234" s="73"/>
      <c r="X234" s="73"/>
      <c r="Y234" s="73"/>
      <c r="Z234" s="73"/>
      <c r="AA234" s="80"/>
      <c r="AB234" s="73"/>
    </row>
    <row r="235" ht="26.25" customHeight="1" spans="1:28">
      <c r="A235" s="67">
        <f>235-6</f>
        <v>229</v>
      </c>
      <c r="B235" s="68"/>
      <c r="C235" s="68"/>
      <c r="D235" s="68"/>
      <c r="E235" s="68"/>
      <c r="F235" s="68"/>
      <c r="G235" s="68"/>
      <c r="H235" s="68" t="s">
        <v>443</v>
      </c>
      <c r="I235" s="73">
        <f t="shared" si="219"/>
        <v>90</v>
      </c>
      <c r="J235" s="73"/>
      <c r="K235" s="73">
        <v>90</v>
      </c>
      <c r="L235" s="73"/>
      <c r="M235" s="73"/>
      <c r="N235" s="73">
        <f t="shared" si="221"/>
        <v>90</v>
      </c>
      <c r="O235" s="73">
        <v>90</v>
      </c>
      <c r="P235" s="73"/>
      <c r="Q235" s="73"/>
      <c r="R235" s="73"/>
      <c r="S235" s="73"/>
      <c r="T235" s="73">
        <f t="shared" si="223"/>
        <v>0</v>
      </c>
      <c r="U235" s="73"/>
      <c r="V235" s="73"/>
      <c r="W235" s="73"/>
      <c r="X235" s="73"/>
      <c r="Y235" s="73"/>
      <c r="Z235" s="73"/>
      <c r="AA235" s="80"/>
      <c r="AB235" s="73"/>
    </row>
    <row r="236" ht="26.25" customHeight="1" spans="1:28">
      <c r="A236" s="67">
        <f>236-6</f>
        <v>230</v>
      </c>
      <c r="B236" s="68"/>
      <c r="C236" s="68"/>
      <c r="D236" s="68"/>
      <c r="E236" s="68"/>
      <c r="F236" s="68"/>
      <c r="G236" s="68" t="s">
        <v>444</v>
      </c>
      <c r="H236" s="68"/>
      <c r="I236" s="73">
        <f t="shared" si="219"/>
        <v>649.32</v>
      </c>
      <c r="J236" s="73">
        <f t="shared" ref="J236:M236" si="249">SUM(J237:J251)</f>
        <v>0</v>
      </c>
      <c r="K236" s="73">
        <f t="shared" si="249"/>
        <v>649.32</v>
      </c>
      <c r="L236" s="73">
        <f t="shared" si="249"/>
        <v>0</v>
      </c>
      <c r="M236" s="73">
        <f t="shared" si="249"/>
        <v>0</v>
      </c>
      <c r="N236" s="73">
        <f t="shared" si="221"/>
        <v>649.32</v>
      </c>
      <c r="O236" s="73">
        <f t="shared" ref="O236:S236" si="250">SUM(O237:O251)</f>
        <v>649.32</v>
      </c>
      <c r="P236" s="73">
        <f t="shared" si="250"/>
        <v>0</v>
      </c>
      <c r="Q236" s="73">
        <f t="shared" si="250"/>
        <v>0</v>
      </c>
      <c r="R236" s="73">
        <f t="shared" si="250"/>
        <v>0</v>
      </c>
      <c r="S236" s="73">
        <f t="shared" si="250"/>
        <v>0</v>
      </c>
      <c r="T236" s="73">
        <f t="shared" si="223"/>
        <v>0</v>
      </c>
      <c r="U236" s="73">
        <f t="shared" ref="U236:AA236" si="251">SUM(U237:U251)</f>
        <v>0</v>
      </c>
      <c r="V236" s="73">
        <f t="shared" si="251"/>
        <v>0</v>
      </c>
      <c r="W236" s="73">
        <f t="shared" si="251"/>
        <v>0</v>
      </c>
      <c r="X236" s="73">
        <f t="shared" si="251"/>
        <v>0</v>
      </c>
      <c r="Y236" s="73">
        <f t="shared" si="251"/>
        <v>0</v>
      </c>
      <c r="Z236" s="73">
        <f t="shared" si="251"/>
        <v>0</v>
      </c>
      <c r="AA236" s="80">
        <f t="shared" si="251"/>
        <v>0</v>
      </c>
      <c r="AB236" s="73"/>
    </row>
    <row r="237" ht="26.25" customHeight="1" spans="1:28">
      <c r="A237" s="67">
        <f>237-6</f>
        <v>231</v>
      </c>
      <c r="B237" s="68"/>
      <c r="C237" s="68"/>
      <c r="D237" s="68"/>
      <c r="E237" s="68"/>
      <c r="F237" s="68"/>
      <c r="G237" s="68"/>
      <c r="H237" s="68" t="s">
        <v>445</v>
      </c>
      <c r="I237" s="73">
        <f t="shared" si="219"/>
        <v>40</v>
      </c>
      <c r="J237" s="73"/>
      <c r="K237" s="73">
        <v>40</v>
      </c>
      <c r="L237" s="73"/>
      <c r="M237" s="73"/>
      <c r="N237" s="73">
        <f t="shared" si="221"/>
        <v>40</v>
      </c>
      <c r="O237" s="73">
        <v>40</v>
      </c>
      <c r="P237" s="73"/>
      <c r="Q237" s="73"/>
      <c r="R237" s="73"/>
      <c r="S237" s="73"/>
      <c r="T237" s="73">
        <f t="shared" si="223"/>
        <v>0</v>
      </c>
      <c r="U237" s="73"/>
      <c r="V237" s="73"/>
      <c r="W237" s="73"/>
      <c r="X237" s="73"/>
      <c r="Y237" s="73"/>
      <c r="Z237" s="73"/>
      <c r="AA237" s="80"/>
      <c r="AB237" s="73"/>
    </row>
    <row r="238" ht="26.25" customHeight="1" spans="1:28">
      <c r="A238" s="67">
        <f>238-6</f>
        <v>232</v>
      </c>
      <c r="B238" s="68"/>
      <c r="C238" s="68"/>
      <c r="D238" s="68"/>
      <c r="E238" s="68"/>
      <c r="F238" s="68"/>
      <c r="G238" s="68"/>
      <c r="H238" s="68" t="s">
        <v>446</v>
      </c>
      <c r="I238" s="73">
        <f t="shared" si="219"/>
        <v>17</v>
      </c>
      <c r="J238" s="73"/>
      <c r="K238" s="73">
        <v>17</v>
      </c>
      <c r="L238" s="73"/>
      <c r="M238" s="73"/>
      <c r="N238" s="73">
        <f t="shared" si="221"/>
        <v>17</v>
      </c>
      <c r="O238" s="73">
        <v>17</v>
      </c>
      <c r="P238" s="73"/>
      <c r="Q238" s="73"/>
      <c r="R238" s="73"/>
      <c r="S238" s="73"/>
      <c r="T238" s="73">
        <f t="shared" si="223"/>
        <v>0</v>
      </c>
      <c r="U238" s="73"/>
      <c r="V238" s="73"/>
      <c r="W238" s="73"/>
      <c r="X238" s="73"/>
      <c r="Y238" s="73"/>
      <c r="Z238" s="73"/>
      <c r="AA238" s="80"/>
      <c r="AB238" s="73"/>
    </row>
    <row r="239" ht="26.25" customHeight="1" spans="1:28">
      <c r="A239" s="67">
        <f>239-6</f>
        <v>233</v>
      </c>
      <c r="B239" s="68"/>
      <c r="C239" s="68"/>
      <c r="D239" s="68"/>
      <c r="E239" s="68"/>
      <c r="F239" s="68"/>
      <c r="G239" s="68"/>
      <c r="H239" s="68" t="s">
        <v>447</v>
      </c>
      <c r="I239" s="73">
        <f t="shared" si="219"/>
        <v>15</v>
      </c>
      <c r="J239" s="73"/>
      <c r="K239" s="73">
        <v>15</v>
      </c>
      <c r="L239" s="73"/>
      <c r="M239" s="73"/>
      <c r="N239" s="73">
        <f t="shared" si="221"/>
        <v>15</v>
      </c>
      <c r="O239" s="73">
        <v>15</v>
      </c>
      <c r="P239" s="73"/>
      <c r="Q239" s="73"/>
      <c r="R239" s="73"/>
      <c r="S239" s="73"/>
      <c r="T239" s="73">
        <f t="shared" si="223"/>
        <v>0</v>
      </c>
      <c r="U239" s="73"/>
      <c r="V239" s="73"/>
      <c r="W239" s="73"/>
      <c r="X239" s="73"/>
      <c r="Y239" s="73"/>
      <c r="Z239" s="73"/>
      <c r="AA239" s="80"/>
      <c r="AB239" s="73"/>
    </row>
    <row r="240" ht="26.25" customHeight="1" spans="1:28">
      <c r="A240" s="67">
        <f>240-6</f>
        <v>234</v>
      </c>
      <c r="B240" s="68"/>
      <c r="C240" s="68"/>
      <c r="D240" s="68"/>
      <c r="E240" s="68"/>
      <c r="F240" s="68"/>
      <c r="G240" s="68"/>
      <c r="H240" s="68" t="s">
        <v>448</v>
      </c>
      <c r="I240" s="73">
        <f t="shared" si="219"/>
        <v>40</v>
      </c>
      <c r="J240" s="73"/>
      <c r="K240" s="73">
        <v>40</v>
      </c>
      <c r="L240" s="73"/>
      <c r="M240" s="73"/>
      <c r="N240" s="73">
        <f t="shared" si="221"/>
        <v>40</v>
      </c>
      <c r="O240" s="73">
        <v>40</v>
      </c>
      <c r="P240" s="73"/>
      <c r="Q240" s="73"/>
      <c r="R240" s="73"/>
      <c r="S240" s="73"/>
      <c r="T240" s="73">
        <f t="shared" si="223"/>
        <v>0</v>
      </c>
      <c r="U240" s="73"/>
      <c r="V240" s="73"/>
      <c r="W240" s="73"/>
      <c r="X240" s="73"/>
      <c r="Y240" s="73"/>
      <c r="Z240" s="73"/>
      <c r="AA240" s="80"/>
      <c r="AB240" s="73"/>
    </row>
    <row r="241" ht="26.25" customHeight="1" spans="1:28">
      <c r="A241" s="67">
        <f>241-6</f>
        <v>235</v>
      </c>
      <c r="B241" s="68"/>
      <c r="C241" s="68"/>
      <c r="D241" s="68"/>
      <c r="E241" s="68"/>
      <c r="F241" s="68"/>
      <c r="G241" s="68"/>
      <c r="H241" s="68" t="s">
        <v>449</v>
      </c>
      <c r="I241" s="73">
        <f t="shared" si="219"/>
        <v>95</v>
      </c>
      <c r="J241" s="73"/>
      <c r="K241" s="73">
        <v>95</v>
      </c>
      <c r="L241" s="73"/>
      <c r="M241" s="73"/>
      <c r="N241" s="73">
        <f t="shared" si="221"/>
        <v>95</v>
      </c>
      <c r="O241" s="73">
        <v>95</v>
      </c>
      <c r="P241" s="73"/>
      <c r="Q241" s="73"/>
      <c r="R241" s="73"/>
      <c r="S241" s="73"/>
      <c r="T241" s="73">
        <f t="shared" si="223"/>
        <v>0</v>
      </c>
      <c r="U241" s="73"/>
      <c r="V241" s="73"/>
      <c r="W241" s="73"/>
      <c r="X241" s="73"/>
      <c r="Y241" s="73"/>
      <c r="Z241" s="73"/>
      <c r="AA241" s="80"/>
      <c r="AB241" s="73"/>
    </row>
    <row r="242" ht="26.25" customHeight="1" spans="1:28">
      <c r="A242" s="67">
        <f>242-6</f>
        <v>236</v>
      </c>
      <c r="B242" s="68"/>
      <c r="C242" s="68"/>
      <c r="D242" s="68"/>
      <c r="E242" s="68"/>
      <c r="F242" s="68"/>
      <c r="G242" s="68"/>
      <c r="H242" s="68" t="s">
        <v>450</v>
      </c>
      <c r="I242" s="73">
        <f t="shared" si="219"/>
        <v>15</v>
      </c>
      <c r="J242" s="73"/>
      <c r="K242" s="73">
        <v>15</v>
      </c>
      <c r="L242" s="73"/>
      <c r="M242" s="73"/>
      <c r="N242" s="73">
        <f t="shared" si="221"/>
        <v>15</v>
      </c>
      <c r="O242" s="73">
        <v>15</v>
      </c>
      <c r="P242" s="73"/>
      <c r="Q242" s="73"/>
      <c r="R242" s="73"/>
      <c r="S242" s="73"/>
      <c r="T242" s="73">
        <f t="shared" si="223"/>
        <v>0</v>
      </c>
      <c r="U242" s="73"/>
      <c r="V242" s="73"/>
      <c r="W242" s="73"/>
      <c r="X242" s="73"/>
      <c r="Y242" s="73"/>
      <c r="Z242" s="73"/>
      <c r="AA242" s="80"/>
      <c r="AB242" s="73"/>
    </row>
    <row r="243" ht="26.25" customHeight="1" spans="1:28">
      <c r="A243" s="67">
        <f>243-6</f>
        <v>237</v>
      </c>
      <c r="B243" s="68"/>
      <c r="C243" s="68"/>
      <c r="D243" s="68"/>
      <c r="E243" s="68"/>
      <c r="F243" s="68"/>
      <c r="G243" s="68"/>
      <c r="H243" s="68" t="s">
        <v>451</v>
      </c>
      <c r="I243" s="73">
        <f t="shared" si="219"/>
        <v>32</v>
      </c>
      <c r="J243" s="73"/>
      <c r="K243" s="73">
        <v>32</v>
      </c>
      <c r="L243" s="73"/>
      <c r="M243" s="73"/>
      <c r="N243" s="73">
        <f t="shared" si="221"/>
        <v>32</v>
      </c>
      <c r="O243" s="73">
        <v>32</v>
      </c>
      <c r="P243" s="73"/>
      <c r="Q243" s="73"/>
      <c r="R243" s="73"/>
      <c r="S243" s="73"/>
      <c r="T243" s="73">
        <f t="shared" si="223"/>
        <v>0</v>
      </c>
      <c r="U243" s="73"/>
      <c r="V243" s="73"/>
      <c r="W243" s="73"/>
      <c r="X243" s="73"/>
      <c r="Y243" s="73"/>
      <c r="Z243" s="73"/>
      <c r="AA243" s="80"/>
      <c r="AB243" s="73"/>
    </row>
    <row r="244" ht="26.25" customHeight="1" spans="1:28">
      <c r="A244" s="67">
        <f>244-6</f>
        <v>238</v>
      </c>
      <c r="B244" s="68"/>
      <c r="C244" s="68"/>
      <c r="D244" s="68"/>
      <c r="E244" s="68"/>
      <c r="F244" s="68"/>
      <c r="G244" s="68"/>
      <c r="H244" s="68" t="s">
        <v>452</v>
      </c>
      <c r="I244" s="73">
        <f t="shared" si="219"/>
        <v>100.82</v>
      </c>
      <c r="J244" s="73"/>
      <c r="K244" s="73">
        <v>100.82</v>
      </c>
      <c r="L244" s="73"/>
      <c r="M244" s="73"/>
      <c r="N244" s="73">
        <f t="shared" si="221"/>
        <v>100.82</v>
      </c>
      <c r="O244" s="73">
        <v>100.82</v>
      </c>
      <c r="P244" s="73"/>
      <c r="Q244" s="73"/>
      <c r="R244" s="73"/>
      <c r="S244" s="73"/>
      <c r="T244" s="73">
        <f t="shared" si="223"/>
        <v>0</v>
      </c>
      <c r="U244" s="73"/>
      <c r="V244" s="73"/>
      <c r="W244" s="73"/>
      <c r="X244" s="73"/>
      <c r="Y244" s="73"/>
      <c r="Z244" s="73"/>
      <c r="AA244" s="80"/>
      <c r="AB244" s="73"/>
    </row>
    <row r="245" ht="26.25" customHeight="1" spans="1:28">
      <c r="A245" s="67">
        <f>245-6</f>
        <v>239</v>
      </c>
      <c r="B245" s="68"/>
      <c r="C245" s="68"/>
      <c r="D245" s="68"/>
      <c r="E245" s="68"/>
      <c r="F245" s="68"/>
      <c r="G245" s="68"/>
      <c r="H245" s="68" t="s">
        <v>453</v>
      </c>
      <c r="I245" s="73">
        <f t="shared" si="219"/>
        <v>60</v>
      </c>
      <c r="J245" s="73"/>
      <c r="K245" s="73">
        <v>60</v>
      </c>
      <c r="L245" s="73"/>
      <c r="M245" s="73"/>
      <c r="N245" s="73">
        <f t="shared" si="221"/>
        <v>60</v>
      </c>
      <c r="O245" s="73">
        <v>60</v>
      </c>
      <c r="P245" s="73"/>
      <c r="Q245" s="73"/>
      <c r="R245" s="73"/>
      <c r="S245" s="73"/>
      <c r="T245" s="73">
        <f t="shared" si="223"/>
        <v>0</v>
      </c>
      <c r="U245" s="73"/>
      <c r="V245" s="73"/>
      <c r="W245" s="73"/>
      <c r="X245" s="73"/>
      <c r="Y245" s="73"/>
      <c r="Z245" s="73"/>
      <c r="AA245" s="80"/>
      <c r="AB245" s="73"/>
    </row>
    <row r="246" ht="26.25" customHeight="1" spans="1:28">
      <c r="A246" s="67">
        <f>246-6</f>
        <v>240</v>
      </c>
      <c r="B246" s="68"/>
      <c r="C246" s="68"/>
      <c r="D246" s="68"/>
      <c r="E246" s="68"/>
      <c r="F246" s="68"/>
      <c r="G246" s="68"/>
      <c r="H246" s="68" t="s">
        <v>454</v>
      </c>
      <c r="I246" s="73">
        <f t="shared" si="219"/>
        <v>45</v>
      </c>
      <c r="J246" s="73"/>
      <c r="K246" s="73">
        <v>45</v>
      </c>
      <c r="L246" s="73"/>
      <c r="M246" s="73"/>
      <c r="N246" s="73">
        <f t="shared" si="221"/>
        <v>45</v>
      </c>
      <c r="O246" s="73">
        <v>45</v>
      </c>
      <c r="P246" s="73"/>
      <c r="Q246" s="73"/>
      <c r="R246" s="73"/>
      <c r="S246" s="73"/>
      <c r="T246" s="73">
        <f t="shared" si="223"/>
        <v>0</v>
      </c>
      <c r="U246" s="73"/>
      <c r="V246" s="73"/>
      <c r="W246" s="73"/>
      <c r="X246" s="73"/>
      <c r="Y246" s="73"/>
      <c r="Z246" s="73"/>
      <c r="AA246" s="80"/>
      <c r="AB246" s="73"/>
    </row>
    <row r="247" ht="26.25" customHeight="1" spans="1:28">
      <c r="A247" s="67">
        <f>247-6</f>
        <v>241</v>
      </c>
      <c r="B247" s="68"/>
      <c r="C247" s="68"/>
      <c r="D247" s="68"/>
      <c r="E247" s="68"/>
      <c r="F247" s="68"/>
      <c r="G247" s="68"/>
      <c r="H247" s="68" t="s">
        <v>455</v>
      </c>
      <c r="I247" s="73">
        <f t="shared" si="219"/>
        <v>13</v>
      </c>
      <c r="J247" s="73"/>
      <c r="K247" s="73">
        <v>13</v>
      </c>
      <c r="L247" s="73"/>
      <c r="M247" s="73"/>
      <c r="N247" s="73">
        <f t="shared" si="221"/>
        <v>13</v>
      </c>
      <c r="O247" s="73">
        <v>13</v>
      </c>
      <c r="P247" s="73"/>
      <c r="Q247" s="73"/>
      <c r="R247" s="73"/>
      <c r="S247" s="73"/>
      <c r="T247" s="73">
        <f t="shared" si="223"/>
        <v>0</v>
      </c>
      <c r="U247" s="73"/>
      <c r="V247" s="73"/>
      <c r="W247" s="73"/>
      <c r="X247" s="73"/>
      <c r="Y247" s="73"/>
      <c r="Z247" s="73"/>
      <c r="AA247" s="80"/>
      <c r="AB247" s="73"/>
    </row>
    <row r="248" ht="26.25" customHeight="1" spans="1:28">
      <c r="A248" s="67">
        <f>248-6</f>
        <v>242</v>
      </c>
      <c r="B248" s="68"/>
      <c r="C248" s="68"/>
      <c r="D248" s="68"/>
      <c r="E248" s="68"/>
      <c r="F248" s="68"/>
      <c r="G248" s="68"/>
      <c r="H248" s="68" t="s">
        <v>456</v>
      </c>
      <c r="I248" s="73">
        <f t="shared" si="219"/>
        <v>20</v>
      </c>
      <c r="J248" s="73"/>
      <c r="K248" s="73">
        <v>20</v>
      </c>
      <c r="L248" s="73"/>
      <c r="M248" s="73"/>
      <c r="N248" s="73">
        <f t="shared" si="221"/>
        <v>20</v>
      </c>
      <c r="O248" s="73">
        <v>20</v>
      </c>
      <c r="P248" s="73"/>
      <c r="Q248" s="73"/>
      <c r="R248" s="73"/>
      <c r="S248" s="73"/>
      <c r="T248" s="73">
        <f t="shared" si="223"/>
        <v>0</v>
      </c>
      <c r="U248" s="73"/>
      <c r="V248" s="73"/>
      <c r="W248" s="73"/>
      <c r="X248" s="73"/>
      <c r="Y248" s="73"/>
      <c r="Z248" s="73"/>
      <c r="AA248" s="80"/>
      <c r="AB248" s="73"/>
    </row>
    <row r="249" ht="26.25" customHeight="1" spans="1:28">
      <c r="A249" s="67">
        <f>249-6</f>
        <v>243</v>
      </c>
      <c r="B249" s="68"/>
      <c r="C249" s="68"/>
      <c r="D249" s="68"/>
      <c r="E249" s="68"/>
      <c r="F249" s="68"/>
      <c r="G249" s="68"/>
      <c r="H249" s="68" t="s">
        <v>457</v>
      </c>
      <c r="I249" s="73">
        <f t="shared" si="219"/>
        <v>48.5</v>
      </c>
      <c r="J249" s="73"/>
      <c r="K249" s="73">
        <v>48.5</v>
      </c>
      <c r="L249" s="73"/>
      <c r="M249" s="73"/>
      <c r="N249" s="73">
        <f t="shared" si="221"/>
        <v>48.5</v>
      </c>
      <c r="O249" s="73">
        <v>48.5</v>
      </c>
      <c r="P249" s="73"/>
      <c r="Q249" s="73"/>
      <c r="R249" s="73"/>
      <c r="S249" s="73"/>
      <c r="T249" s="73">
        <f t="shared" si="223"/>
        <v>0</v>
      </c>
      <c r="U249" s="73"/>
      <c r="V249" s="73"/>
      <c r="W249" s="73"/>
      <c r="X249" s="73"/>
      <c r="Y249" s="73"/>
      <c r="Z249" s="73"/>
      <c r="AA249" s="80"/>
      <c r="AB249" s="73"/>
    </row>
    <row r="250" ht="26.25" customHeight="1" spans="1:28">
      <c r="A250" s="67">
        <f>250-6</f>
        <v>244</v>
      </c>
      <c r="B250" s="68"/>
      <c r="C250" s="68"/>
      <c r="D250" s="68"/>
      <c r="E250" s="68"/>
      <c r="F250" s="68"/>
      <c r="G250" s="68"/>
      <c r="H250" s="68" t="s">
        <v>458</v>
      </c>
      <c r="I250" s="73">
        <f t="shared" si="219"/>
        <v>42</v>
      </c>
      <c r="J250" s="73"/>
      <c r="K250" s="73">
        <v>42</v>
      </c>
      <c r="L250" s="73"/>
      <c r="M250" s="73"/>
      <c r="N250" s="73">
        <f t="shared" si="221"/>
        <v>42</v>
      </c>
      <c r="O250" s="73">
        <v>42</v>
      </c>
      <c r="P250" s="73"/>
      <c r="Q250" s="73"/>
      <c r="R250" s="73"/>
      <c r="S250" s="73"/>
      <c r="T250" s="73">
        <f t="shared" si="223"/>
        <v>0</v>
      </c>
      <c r="U250" s="73"/>
      <c r="V250" s="73"/>
      <c r="W250" s="73"/>
      <c r="X250" s="73"/>
      <c r="Y250" s="73"/>
      <c r="Z250" s="73"/>
      <c r="AA250" s="80"/>
      <c r="AB250" s="73"/>
    </row>
    <row r="251" ht="26.25" customHeight="1" spans="1:28">
      <c r="A251" s="67">
        <f>251-6</f>
        <v>245</v>
      </c>
      <c r="B251" s="68"/>
      <c r="C251" s="68"/>
      <c r="D251" s="68"/>
      <c r="E251" s="68"/>
      <c r="F251" s="68"/>
      <c r="G251" s="68"/>
      <c r="H251" s="68" t="s">
        <v>459</v>
      </c>
      <c r="I251" s="73">
        <f t="shared" si="219"/>
        <v>66</v>
      </c>
      <c r="J251" s="73"/>
      <c r="K251" s="73">
        <v>66</v>
      </c>
      <c r="L251" s="73"/>
      <c r="M251" s="73"/>
      <c r="N251" s="73">
        <f t="shared" si="221"/>
        <v>66</v>
      </c>
      <c r="O251" s="73">
        <v>66</v>
      </c>
      <c r="P251" s="73"/>
      <c r="Q251" s="73"/>
      <c r="R251" s="73"/>
      <c r="S251" s="73"/>
      <c r="T251" s="73">
        <f t="shared" si="223"/>
        <v>0</v>
      </c>
      <c r="U251" s="73"/>
      <c r="V251" s="73"/>
      <c r="W251" s="73"/>
      <c r="X251" s="73"/>
      <c r="Y251" s="73"/>
      <c r="Z251" s="73"/>
      <c r="AA251" s="80"/>
      <c r="AB251" s="73"/>
    </row>
    <row r="252" ht="26.25" customHeight="1" spans="1:28">
      <c r="A252" s="67">
        <f>252-6</f>
        <v>246</v>
      </c>
      <c r="B252" s="68"/>
      <c r="C252" s="68"/>
      <c r="D252" s="68"/>
      <c r="E252" s="68"/>
      <c r="F252" s="68" t="s">
        <v>460</v>
      </c>
      <c r="G252" s="68"/>
      <c r="H252" s="68"/>
      <c r="I252" s="73">
        <f t="shared" si="219"/>
        <v>6</v>
      </c>
      <c r="J252" s="73">
        <f t="shared" ref="J252:M252" si="252">SUM(J253,J256)</f>
        <v>0</v>
      </c>
      <c r="K252" s="73">
        <f t="shared" si="252"/>
        <v>6</v>
      </c>
      <c r="L252" s="73">
        <f t="shared" si="252"/>
        <v>0</v>
      </c>
      <c r="M252" s="73">
        <f t="shared" si="252"/>
        <v>0</v>
      </c>
      <c r="N252" s="73">
        <f t="shared" si="221"/>
        <v>6</v>
      </c>
      <c r="O252" s="73">
        <f t="shared" ref="O252:S252" si="253">SUM(O253,O256)</f>
        <v>6</v>
      </c>
      <c r="P252" s="73">
        <f t="shared" si="253"/>
        <v>0</v>
      </c>
      <c r="Q252" s="73">
        <f t="shared" si="253"/>
        <v>0</v>
      </c>
      <c r="R252" s="73">
        <f t="shared" si="253"/>
        <v>0</v>
      </c>
      <c r="S252" s="73">
        <f t="shared" si="253"/>
        <v>0</v>
      </c>
      <c r="T252" s="73">
        <f t="shared" si="223"/>
        <v>0</v>
      </c>
      <c r="U252" s="73">
        <f t="shared" ref="U252:AA252" si="254">SUM(U253,U256)</f>
        <v>0</v>
      </c>
      <c r="V252" s="73">
        <f t="shared" si="254"/>
        <v>0</v>
      </c>
      <c r="W252" s="73">
        <f t="shared" si="254"/>
        <v>0</v>
      </c>
      <c r="X252" s="73">
        <f t="shared" si="254"/>
        <v>0</v>
      </c>
      <c r="Y252" s="73">
        <f t="shared" si="254"/>
        <v>0</v>
      </c>
      <c r="Z252" s="73">
        <f t="shared" si="254"/>
        <v>0</v>
      </c>
      <c r="AA252" s="80">
        <f t="shared" si="254"/>
        <v>0</v>
      </c>
      <c r="AB252" s="81" t="s">
        <v>245</v>
      </c>
    </row>
    <row r="253" ht="26.25" customHeight="1" spans="1:28">
      <c r="A253" s="67">
        <f>253-6</f>
        <v>247</v>
      </c>
      <c r="B253" s="68"/>
      <c r="C253" s="68"/>
      <c r="D253" s="68"/>
      <c r="E253" s="68"/>
      <c r="F253" s="68"/>
      <c r="G253" s="68" t="s">
        <v>461</v>
      </c>
      <c r="H253" s="68"/>
      <c r="I253" s="73">
        <f t="shared" si="219"/>
        <v>5</v>
      </c>
      <c r="J253" s="73">
        <f t="shared" ref="J253:M253" si="255">SUM(J254:J255)</f>
        <v>0</v>
      </c>
      <c r="K253" s="73">
        <f t="shared" si="255"/>
        <v>5</v>
      </c>
      <c r="L253" s="73">
        <f t="shared" si="255"/>
        <v>0</v>
      </c>
      <c r="M253" s="73">
        <f t="shared" si="255"/>
        <v>0</v>
      </c>
      <c r="N253" s="73">
        <f t="shared" si="221"/>
        <v>5</v>
      </c>
      <c r="O253" s="73">
        <f t="shared" ref="O253:S253" si="256">SUM(O254:O255)</f>
        <v>5</v>
      </c>
      <c r="P253" s="73">
        <f t="shared" si="256"/>
        <v>0</v>
      </c>
      <c r="Q253" s="73">
        <f t="shared" si="256"/>
        <v>0</v>
      </c>
      <c r="R253" s="73">
        <f t="shared" si="256"/>
        <v>0</v>
      </c>
      <c r="S253" s="73">
        <f t="shared" si="256"/>
        <v>0</v>
      </c>
      <c r="T253" s="73">
        <f t="shared" si="223"/>
        <v>0</v>
      </c>
      <c r="U253" s="73">
        <f t="shared" ref="U253:AA253" si="257">SUM(U254:U255)</f>
        <v>0</v>
      </c>
      <c r="V253" s="73">
        <f t="shared" si="257"/>
        <v>0</v>
      </c>
      <c r="W253" s="73">
        <f t="shared" si="257"/>
        <v>0</v>
      </c>
      <c r="X253" s="73">
        <f t="shared" si="257"/>
        <v>0</v>
      </c>
      <c r="Y253" s="73">
        <f t="shared" si="257"/>
        <v>0</v>
      </c>
      <c r="Z253" s="73">
        <f t="shared" si="257"/>
        <v>0</v>
      </c>
      <c r="AA253" s="80">
        <f t="shared" si="257"/>
        <v>0</v>
      </c>
      <c r="AB253" s="73"/>
    </row>
    <row r="254" ht="26.25" customHeight="1" spans="1:28">
      <c r="A254" s="67">
        <f>254-6</f>
        <v>248</v>
      </c>
      <c r="B254" s="68"/>
      <c r="C254" s="68"/>
      <c r="D254" s="68"/>
      <c r="E254" s="68"/>
      <c r="F254" s="68"/>
      <c r="G254" s="68"/>
      <c r="H254" s="68" t="s">
        <v>462</v>
      </c>
      <c r="I254" s="73">
        <f t="shared" si="219"/>
        <v>2.5</v>
      </c>
      <c r="J254" s="73"/>
      <c r="K254" s="73">
        <v>2.5</v>
      </c>
      <c r="L254" s="73"/>
      <c r="M254" s="73"/>
      <c r="N254" s="73">
        <f t="shared" si="221"/>
        <v>2.5</v>
      </c>
      <c r="O254" s="73">
        <v>2.5</v>
      </c>
      <c r="P254" s="73"/>
      <c r="Q254" s="73"/>
      <c r="R254" s="73"/>
      <c r="S254" s="73"/>
      <c r="T254" s="73">
        <f t="shared" si="223"/>
        <v>0</v>
      </c>
      <c r="U254" s="73"/>
      <c r="V254" s="73"/>
      <c r="W254" s="73"/>
      <c r="X254" s="73"/>
      <c r="Y254" s="73"/>
      <c r="Z254" s="73"/>
      <c r="AA254" s="80"/>
      <c r="AB254" s="73"/>
    </row>
    <row r="255" ht="26.25" customHeight="1" spans="1:28">
      <c r="A255" s="67">
        <f>255-6</f>
        <v>249</v>
      </c>
      <c r="B255" s="68"/>
      <c r="C255" s="68"/>
      <c r="D255" s="68"/>
      <c r="E255" s="68"/>
      <c r="F255" s="68"/>
      <c r="G255" s="68"/>
      <c r="H255" s="68" t="s">
        <v>463</v>
      </c>
      <c r="I255" s="73">
        <f t="shared" si="219"/>
        <v>2.5</v>
      </c>
      <c r="J255" s="73"/>
      <c r="K255" s="73">
        <v>2.5</v>
      </c>
      <c r="L255" s="73"/>
      <c r="M255" s="73"/>
      <c r="N255" s="73">
        <f t="shared" si="221"/>
        <v>2.5</v>
      </c>
      <c r="O255" s="73">
        <v>2.5</v>
      </c>
      <c r="P255" s="73"/>
      <c r="Q255" s="73"/>
      <c r="R255" s="73"/>
      <c r="S255" s="73"/>
      <c r="T255" s="73">
        <f t="shared" si="223"/>
        <v>0</v>
      </c>
      <c r="U255" s="73"/>
      <c r="V255" s="73"/>
      <c r="W255" s="73"/>
      <c r="X255" s="73"/>
      <c r="Y255" s="73"/>
      <c r="Z255" s="73"/>
      <c r="AA255" s="80"/>
      <c r="AB255" s="73"/>
    </row>
    <row r="256" ht="26.25" customHeight="1" spans="1:28">
      <c r="A256" s="67">
        <f>256-6</f>
        <v>250</v>
      </c>
      <c r="B256" s="68"/>
      <c r="C256" s="68"/>
      <c r="D256" s="68"/>
      <c r="E256" s="68"/>
      <c r="F256" s="68"/>
      <c r="G256" s="68" t="s">
        <v>464</v>
      </c>
      <c r="H256" s="68"/>
      <c r="I256" s="73">
        <f t="shared" si="219"/>
        <v>1</v>
      </c>
      <c r="J256" s="73">
        <f t="shared" ref="J256:M256" si="258">SUM(J257:J258)</f>
        <v>0</v>
      </c>
      <c r="K256" s="73">
        <f t="shared" si="258"/>
        <v>1</v>
      </c>
      <c r="L256" s="73">
        <f t="shared" si="258"/>
        <v>0</v>
      </c>
      <c r="M256" s="73">
        <f t="shared" si="258"/>
        <v>0</v>
      </c>
      <c r="N256" s="73">
        <f t="shared" si="221"/>
        <v>1</v>
      </c>
      <c r="O256" s="73">
        <f t="shared" ref="O256:S256" si="259">SUM(O257:O258)</f>
        <v>1</v>
      </c>
      <c r="P256" s="73">
        <f t="shared" si="259"/>
        <v>0</v>
      </c>
      <c r="Q256" s="73">
        <f t="shared" si="259"/>
        <v>0</v>
      </c>
      <c r="R256" s="73">
        <f t="shared" si="259"/>
        <v>0</v>
      </c>
      <c r="S256" s="73">
        <f t="shared" si="259"/>
        <v>0</v>
      </c>
      <c r="T256" s="73">
        <f t="shared" si="223"/>
        <v>0</v>
      </c>
      <c r="U256" s="73">
        <f t="shared" ref="U256:AA256" si="260">SUM(U257:U258)</f>
        <v>0</v>
      </c>
      <c r="V256" s="73">
        <f t="shared" si="260"/>
        <v>0</v>
      </c>
      <c r="W256" s="73">
        <f t="shared" si="260"/>
        <v>0</v>
      </c>
      <c r="X256" s="73">
        <f t="shared" si="260"/>
        <v>0</v>
      </c>
      <c r="Y256" s="73">
        <f t="shared" si="260"/>
        <v>0</v>
      </c>
      <c r="Z256" s="73">
        <f t="shared" si="260"/>
        <v>0</v>
      </c>
      <c r="AA256" s="80">
        <f t="shared" si="260"/>
        <v>0</v>
      </c>
      <c r="AB256" s="73"/>
    </row>
    <row r="257" ht="26.25" customHeight="1" spans="1:28">
      <c r="A257" s="67">
        <f>257-6</f>
        <v>251</v>
      </c>
      <c r="B257" s="68"/>
      <c r="C257" s="68"/>
      <c r="D257" s="68"/>
      <c r="E257" s="68"/>
      <c r="F257" s="68"/>
      <c r="G257" s="68"/>
      <c r="H257" s="68" t="s">
        <v>465</v>
      </c>
      <c r="I257" s="73">
        <f t="shared" si="219"/>
        <v>0.5</v>
      </c>
      <c r="J257" s="73"/>
      <c r="K257" s="73">
        <v>0.5</v>
      </c>
      <c r="L257" s="73"/>
      <c r="M257" s="73"/>
      <c r="N257" s="73">
        <f t="shared" si="221"/>
        <v>0.5</v>
      </c>
      <c r="O257" s="73">
        <v>0.5</v>
      </c>
      <c r="P257" s="73"/>
      <c r="Q257" s="73"/>
      <c r="R257" s="73"/>
      <c r="S257" s="73"/>
      <c r="T257" s="73">
        <f t="shared" si="223"/>
        <v>0</v>
      </c>
      <c r="U257" s="73"/>
      <c r="V257" s="73"/>
      <c r="W257" s="73"/>
      <c r="X257" s="73"/>
      <c r="Y257" s="73"/>
      <c r="Z257" s="73"/>
      <c r="AA257" s="80"/>
      <c r="AB257" s="73"/>
    </row>
    <row r="258" ht="26.25" customHeight="1" spans="1:28">
      <c r="A258" s="67">
        <f>258-6</f>
        <v>252</v>
      </c>
      <c r="B258" s="68"/>
      <c r="C258" s="68"/>
      <c r="D258" s="68"/>
      <c r="E258" s="68"/>
      <c r="F258" s="68"/>
      <c r="G258" s="68"/>
      <c r="H258" s="68" t="s">
        <v>466</v>
      </c>
      <c r="I258" s="73">
        <f t="shared" si="219"/>
        <v>0.5</v>
      </c>
      <c r="J258" s="73"/>
      <c r="K258" s="73">
        <v>0.5</v>
      </c>
      <c r="L258" s="73"/>
      <c r="M258" s="73"/>
      <c r="N258" s="73">
        <f t="shared" si="221"/>
        <v>0.5</v>
      </c>
      <c r="O258" s="73">
        <v>0.5</v>
      </c>
      <c r="P258" s="73"/>
      <c r="Q258" s="73"/>
      <c r="R258" s="73"/>
      <c r="S258" s="73"/>
      <c r="T258" s="73">
        <f t="shared" si="223"/>
        <v>0</v>
      </c>
      <c r="U258" s="73"/>
      <c r="V258" s="73"/>
      <c r="W258" s="73"/>
      <c r="X258" s="73"/>
      <c r="Y258" s="73"/>
      <c r="Z258" s="73"/>
      <c r="AA258" s="80"/>
      <c r="AB258" s="73"/>
    </row>
    <row r="259" ht="26.25" customHeight="1" spans="1:28">
      <c r="A259" s="67">
        <f>259-6</f>
        <v>253</v>
      </c>
      <c r="B259" s="68"/>
      <c r="C259" s="68"/>
      <c r="D259" s="68"/>
      <c r="E259" s="68"/>
      <c r="F259" s="68" t="s">
        <v>467</v>
      </c>
      <c r="G259" s="68"/>
      <c r="H259" s="68"/>
      <c r="I259" s="73">
        <f t="shared" si="219"/>
        <v>87.4</v>
      </c>
      <c r="J259" s="73">
        <f t="shared" ref="J259:M259" si="261">SUM(J260,J263,J267)</f>
        <v>0</v>
      </c>
      <c r="K259" s="73">
        <f t="shared" si="261"/>
        <v>87.4</v>
      </c>
      <c r="L259" s="73">
        <f t="shared" si="261"/>
        <v>0</v>
      </c>
      <c r="M259" s="73">
        <f t="shared" si="261"/>
        <v>0</v>
      </c>
      <c r="N259" s="73">
        <f t="shared" si="221"/>
        <v>87.4</v>
      </c>
      <c r="O259" s="73">
        <f t="shared" ref="O259:S259" si="262">SUM(O260,O263,O267)</f>
        <v>87.4</v>
      </c>
      <c r="P259" s="73">
        <f t="shared" si="262"/>
        <v>0</v>
      </c>
      <c r="Q259" s="73">
        <f t="shared" si="262"/>
        <v>0</v>
      </c>
      <c r="R259" s="73">
        <f t="shared" si="262"/>
        <v>0</v>
      </c>
      <c r="S259" s="73">
        <f t="shared" si="262"/>
        <v>0</v>
      </c>
      <c r="T259" s="73">
        <f t="shared" si="223"/>
        <v>0</v>
      </c>
      <c r="U259" s="73">
        <f t="shared" ref="U259:AA259" si="263">SUM(U260,U263,U267)</f>
        <v>0</v>
      </c>
      <c r="V259" s="73">
        <f t="shared" si="263"/>
        <v>0</v>
      </c>
      <c r="W259" s="73">
        <f t="shared" si="263"/>
        <v>0</v>
      </c>
      <c r="X259" s="73">
        <f t="shared" si="263"/>
        <v>0</v>
      </c>
      <c r="Y259" s="73">
        <f t="shared" si="263"/>
        <v>0</v>
      </c>
      <c r="Z259" s="73">
        <f t="shared" si="263"/>
        <v>0</v>
      </c>
      <c r="AA259" s="80">
        <f t="shared" si="263"/>
        <v>0</v>
      </c>
      <c r="AB259" s="81" t="s">
        <v>245</v>
      </c>
    </row>
    <row r="260" ht="26.25" customHeight="1" spans="1:28">
      <c r="A260" s="67">
        <f>260-6</f>
        <v>254</v>
      </c>
      <c r="B260" s="68"/>
      <c r="C260" s="68"/>
      <c r="D260" s="68"/>
      <c r="E260" s="68"/>
      <c r="F260" s="68"/>
      <c r="G260" s="68" t="s">
        <v>468</v>
      </c>
      <c r="H260" s="68"/>
      <c r="I260" s="73">
        <f t="shared" si="219"/>
        <v>45.6</v>
      </c>
      <c r="J260" s="73">
        <f t="shared" ref="J260:M260" si="264">SUM(J261:J262)</f>
        <v>0</v>
      </c>
      <c r="K260" s="73">
        <f t="shared" si="264"/>
        <v>45.6</v>
      </c>
      <c r="L260" s="73">
        <f t="shared" si="264"/>
        <v>0</v>
      </c>
      <c r="M260" s="73">
        <f t="shared" si="264"/>
        <v>0</v>
      </c>
      <c r="N260" s="73">
        <f t="shared" si="221"/>
        <v>45.6</v>
      </c>
      <c r="O260" s="73">
        <f t="shared" ref="O260:S260" si="265">SUM(O261:O262)</f>
        <v>45.6</v>
      </c>
      <c r="P260" s="73">
        <f t="shared" si="265"/>
        <v>0</v>
      </c>
      <c r="Q260" s="73">
        <f t="shared" si="265"/>
        <v>0</v>
      </c>
      <c r="R260" s="73">
        <f t="shared" si="265"/>
        <v>0</v>
      </c>
      <c r="S260" s="73">
        <f t="shared" si="265"/>
        <v>0</v>
      </c>
      <c r="T260" s="73">
        <f t="shared" si="223"/>
        <v>0</v>
      </c>
      <c r="U260" s="73">
        <f t="shared" ref="U260:AA260" si="266">SUM(U261:U262)</f>
        <v>0</v>
      </c>
      <c r="V260" s="73">
        <f t="shared" si="266"/>
        <v>0</v>
      </c>
      <c r="W260" s="73">
        <f t="shared" si="266"/>
        <v>0</v>
      </c>
      <c r="X260" s="73">
        <f t="shared" si="266"/>
        <v>0</v>
      </c>
      <c r="Y260" s="73">
        <f t="shared" si="266"/>
        <v>0</v>
      </c>
      <c r="Z260" s="73">
        <f t="shared" si="266"/>
        <v>0</v>
      </c>
      <c r="AA260" s="80">
        <f t="shared" si="266"/>
        <v>0</v>
      </c>
      <c r="AB260" s="73"/>
    </row>
    <row r="261" ht="26.25" customHeight="1" spans="1:28">
      <c r="A261" s="67">
        <f>261-6</f>
        <v>255</v>
      </c>
      <c r="B261" s="68"/>
      <c r="C261" s="68"/>
      <c r="D261" s="68"/>
      <c r="E261" s="68"/>
      <c r="F261" s="68"/>
      <c r="G261" s="68"/>
      <c r="H261" s="68" t="s">
        <v>469</v>
      </c>
      <c r="I261" s="73">
        <f t="shared" si="219"/>
        <v>16</v>
      </c>
      <c r="J261" s="73"/>
      <c r="K261" s="73">
        <v>16</v>
      </c>
      <c r="L261" s="73"/>
      <c r="M261" s="73"/>
      <c r="N261" s="73">
        <f t="shared" si="221"/>
        <v>16</v>
      </c>
      <c r="O261" s="73">
        <v>16</v>
      </c>
      <c r="P261" s="73"/>
      <c r="Q261" s="73"/>
      <c r="R261" s="73"/>
      <c r="S261" s="73"/>
      <c r="T261" s="73">
        <f t="shared" si="223"/>
        <v>0</v>
      </c>
      <c r="U261" s="73"/>
      <c r="V261" s="73"/>
      <c r="W261" s="73"/>
      <c r="X261" s="73"/>
      <c r="Y261" s="73"/>
      <c r="Z261" s="73"/>
      <c r="AA261" s="80"/>
      <c r="AB261" s="73"/>
    </row>
    <row r="262" ht="26.25" customHeight="1" spans="1:28">
      <c r="A262" s="67">
        <f>262-6</f>
        <v>256</v>
      </c>
      <c r="B262" s="68"/>
      <c r="C262" s="68"/>
      <c r="D262" s="68"/>
      <c r="E262" s="68"/>
      <c r="F262" s="68"/>
      <c r="G262" s="68"/>
      <c r="H262" s="68" t="s">
        <v>470</v>
      </c>
      <c r="I262" s="73">
        <f t="shared" ref="I262:I325" si="267">J262+K262+L262+M262</f>
        <v>29.6</v>
      </c>
      <c r="J262" s="73"/>
      <c r="K262" s="73">
        <v>29.6</v>
      </c>
      <c r="L262" s="73"/>
      <c r="M262" s="73"/>
      <c r="N262" s="73">
        <f t="shared" ref="N262:N325" si="268">O262+P262+Q262</f>
        <v>29.6</v>
      </c>
      <c r="O262" s="73">
        <v>29.6</v>
      </c>
      <c r="P262" s="73"/>
      <c r="Q262" s="73"/>
      <c r="R262" s="73"/>
      <c r="S262" s="73"/>
      <c r="T262" s="73">
        <f t="shared" ref="T262:T325" si="269">U262+V262+W262+X262+Y262</f>
        <v>0</v>
      </c>
      <c r="U262" s="73"/>
      <c r="V262" s="73"/>
      <c r="W262" s="73"/>
      <c r="X262" s="73"/>
      <c r="Y262" s="73"/>
      <c r="Z262" s="73"/>
      <c r="AA262" s="80"/>
      <c r="AB262" s="73"/>
    </row>
    <row r="263" ht="26.25" customHeight="1" spans="1:28">
      <c r="A263" s="67">
        <f>263-6</f>
        <v>257</v>
      </c>
      <c r="B263" s="68"/>
      <c r="C263" s="68"/>
      <c r="D263" s="68"/>
      <c r="E263" s="68"/>
      <c r="F263" s="68"/>
      <c r="G263" s="68" t="s">
        <v>471</v>
      </c>
      <c r="H263" s="68"/>
      <c r="I263" s="73">
        <f t="shared" si="267"/>
        <v>26</v>
      </c>
      <c r="J263" s="73">
        <f t="shared" ref="J263:M263" si="270">SUM(J264:J266)</f>
        <v>0</v>
      </c>
      <c r="K263" s="73">
        <f t="shared" si="270"/>
        <v>26</v>
      </c>
      <c r="L263" s="73">
        <f t="shared" si="270"/>
        <v>0</v>
      </c>
      <c r="M263" s="73">
        <f t="shared" si="270"/>
        <v>0</v>
      </c>
      <c r="N263" s="73">
        <f t="shared" si="268"/>
        <v>26</v>
      </c>
      <c r="O263" s="73">
        <f t="shared" ref="O263:S263" si="271">SUM(O264:O266)</f>
        <v>26</v>
      </c>
      <c r="P263" s="73">
        <f t="shared" si="271"/>
        <v>0</v>
      </c>
      <c r="Q263" s="73">
        <f t="shared" si="271"/>
        <v>0</v>
      </c>
      <c r="R263" s="73">
        <f t="shared" si="271"/>
        <v>0</v>
      </c>
      <c r="S263" s="73">
        <f t="shared" si="271"/>
        <v>0</v>
      </c>
      <c r="T263" s="73">
        <f t="shared" si="269"/>
        <v>0</v>
      </c>
      <c r="U263" s="73">
        <f t="shared" ref="U263:AA263" si="272">SUM(U264:U266)</f>
        <v>0</v>
      </c>
      <c r="V263" s="73">
        <f t="shared" si="272"/>
        <v>0</v>
      </c>
      <c r="W263" s="73">
        <f t="shared" si="272"/>
        <v>0</v>
      </c>
      <c r="X263" s="73">
        <f t="shared" si="272"/>
        <v>0</v>
      </c>
      <c r="Y263" s="73">
        <f t="shared" si="272"/>
        <v>0</v>
      </c>
      <c r="Z263" s="73">
        <f t="shared" si="272"/>
        <v>0</v>
      </c>
      <c r="AA263" s="80">
        <f t="shared" si="272"/>
        <v>0</v>
      </c>
      <c r="AB263" s="73"/>
    </row>
    <row r="264" ht="26.25" customHeight="1" spans="1:28">
      <c r="A264" s="67">
        <f>264-6</f>
        <v>258</v>
      </c>
      <c r="B264" s="68"/>
      <c r="C264" s="68"/>
      <c r="D264" s="68"/>
      <c r="E264" s="68"/>
      <c r="F264" s="68"/>
      <c r="G264" s="68"/>
      <c r="H264" s="68" t="s">
        <v>472</v>
      </c>
      <c r="I264" s="73">
        <f t="shared" si="267"/>
        <v>15.2</v>
      </c>
      <c r="J264" s="73"/>
      <c r="K264" s="73">
        <v>15.2</v>
      </c>
      <c r="L264" s="73"/>
      <c r="M264" s="73"/>
      <c r="N264" s="73">
        <f t="shared" si="268"/>
        <v>15.2</v>
      </c>
      <c r="O264" s="73">
        <v>15.2</v>
      </c>
      <c r="P264" s="73"/>
      <c r="Q264" s="73"/>
      <c r="R264" s="73"/>
      <c r="S264" s="73"/>
      <c r="T264" s="73">
        <f t="shared" si="269"/>
        <v>0</v>
      </c>
      <c r="U264" s="73"/>
      <c r="V264" s="73"/>
      <c r="W264" s="73"/>
      <c r="X264" s="73"/>
      <c r="Y264" s="73"/>
      <c r="Z264" s="73"/>
      <c r="AA264" s="80"/>
      <c r="AB264" s="73"/>
    </row>
    <row r="265" ht="26.25" customHeight="1" spans="1:28">
      <c r="A265" s="67">
        <f>265-6</f>
        <v>259</v>
      </c>
      <c r="B265" s="68"/>
      <c r="C265" s="68"/>
      <c r="D265" s="68"/>
      <c r="E265" s="68"/>
      <c r="F265" s="68"/>
      <c r="G265" s="68"/>
      <c r="H265" s="68" t="s">
        <v>473</v>
      </c>
      <c r="I265" s="73">
        <f t="shared" si="267"/>
        <v>3.8</v>
      </c>
      <c r="J265" s="73"/>
      <c r="K265" s="73">
        <v>3.8</v>
      </c>
      <c r="L265" s="73"/>
      <c r="M265" s="73"/>
      <c r="N265" s="73">
        <f t="shared" si="268"/>
        <v>3.8</v>
      </c>
      <c r="O265" s="73">
        <v>3.8</v>
      </c>
      <c r="P265" s="73"/>
      <c r="Q265" s="73"/>
      <c r="R265" s="73"/>
      <c r="S265" s="73"/>
      <c r="T265" s="73">
        <f t="shared" si="269"/>
        <v>0</v>
      </c>
      <c r="U265" s="73"/>
      <c r="V265" s="73"/>
      <c r="W265" s="73"/>
      <c r="X265" s="73"/>
      <c r="Y265" s="73"/>
      <c r="Z265" s="73"/>
      <c r="AA265" s="80"/>
      <c r="AB265" s="73"/>
    </row>
    <row r="266" ht="26.25" customHeight="1" spans="1:28">
      <c r="A266" s="67">
        <f>266-6</f>
        <v>260</v>
      </c>
      <c r="B266" s="68"/>
      <c r="C266" s="68"/>
      <c r="D266" s="68"/>
      <c r="E266" s="68"/>
      <c r="F266" s="68"/>
      <c r="G266" s="68"/>
      <c r="H266" s="68" t="s">
        <v>474</v>
      </c>
      <c r="I266" s="73">
        <f t="shared" si="267"/>
        <v>7</v>
      </c>
      <c r="J266" s="73"/>
      <c r="K266" s="73">
        <v>7</v>
      </c>
      <c r="L266" s="73"/>
      <c r="M266" s="73"/>
      <c r="N266" s="73">
        <f t="shared" si="268"/>
        <v>7</v>
      </c>
      <c r="O266" s="73">
        <v>7</v>
      </c>
      <c r="P266" s="73"/>
      <c r="Q266" s="73"/>
      <c r="R266" s="73"/>
      <c r="S266" s="73"/>
      <c r="T266" s="73">
        <f t="shared" si="269"/>
        <v>0</v>
      </c>
      <c r="U266" s="73"/>
      <c r="V266" s="73"/>
      <c r="W266" s="73"/>
      <c r="X266" s="73"/>
      <c r="Y266" s="73"/>
      <c r="Z266" s="73"/>
      <c r="AA266" s="80"/>
      <c r="AB266" s="73"/>
    </row>
    <row r="267" ht="26.25" customHeight="1" spans="1:28">
      <c r="A267" s="67">
        <f>267-6</f>
        <v>261</v>
      </c>
      <c r="B267" s="68"/>
      <c r="C267" s="68"/>
      <c r="D267" s="68"/>
      <c r="E267" s="68"/>
      <c r="F267" s="68"/>
      <c r="G267" s="68" t="s">
        <v>475</v>
      </c>
      <c r="H267" s="68"/>
      <c r="I267" s="73">
        <f t="shared" si="267"/>
        <v>15.8</v>
      </c>
      <c r="J267" s="73">
        <f t="shared" ref="J267:M267" si="273">SUM(J268:J269)</f>
        <v>0</v>
      </c>
      <c r="K267" s="73">
        <f t="shared" si="273"/>
        <v>15.8</v>
      </c>
      <c r="L267" s="73">
        <f t="shared" si="273"/>
        <v>0</v>
      </c>
      <c r="M267" s="73">
        <f t="shared" si="273"/>
        <v>0</v>
      </c>
      <c r="N267" s="73">
        <f t="shared" si="268"/>
        <v>15.8</v>
      </c>
      <c r="O267" s="73">
        <f t="shared" ref="O267:S267" si="274">SUM(O268:O269)</f>
        <v>15.8</v>
      </c>
      <c r="P267" s="73">
        <f t="shared" si="274"/>
        <v>0</v>
      </c>
      <c r="Q267" s="73">
        <f t="shared" si="274"/>
        <v>0</v>
      </c>
      <c r="R267" s="73">
        <f t="shared" si="274"/>
        <v>0</v>
      </c>
      <c r="S267" s="73">
        <f t="shared" si="274"/>
        <v>0</v>
      </c>
      <c r="T267" s="73">
        <f t="shared" si="269"/>
        <v>0</v>
      </c>
      <c r="U267" s="73">
        <f t="shared" ref="U267:AA267" si="275">SUM(U268:U269)</f>
        <v>0</v>
      </c>
      <c r="V267" s="73">
        <f t="shared" si="275"/>
        <v>0</v>
      </c>
      <c r="W267" s="73">
        <f t="shared" si="275"/>
        <v>0</v>
      </c>
      <c r="X267" s="73">
        <f t="shared" si="275"/>
        <v>0</v>
      </c>
      <c r="Y267" s="73">
        <f t="shared" si="275"/>
        <v>0</v>
      </c>
      <c r="Z267" s="73">
        <f t="shared" si="275"/>
        <v>0</v>
      </c>
      <c r="AA267" s="80">
        <f t="shared" si="275"/>
        <v>0</v>
      </c>
      <c r="AB267" s="73"/>
    </row>
    <row r="268" ht="26.25" customHeight="1" spans="1:28">
      <c r="A268" s="67">
        <f>268-6</f>
        <v>262</v>
      </c>
      <c r="B268" s="68"/>
      <c r="C268" s="68"/>
      <c r="D268" s="68"/>
      <c r="E268" s="68"/>
      <c r="F268" s="68"/>
      <c r="G268" s="68"/>
      <c r="H268" s="68" t="s">
        <v>476</v>
      </c>
      <c r="I268" s="73">
        <f t="shared" si="267"/>
        <v>5</v>
      </c>
      <c r="J268" s="73"/>
      <c r="K268" s="73">
        <v>5</v>
      </c>
      <c r="L268" s="73"/>
      <c r="M268" s="73"/>
      <c r="N268" s="73">
        <f t="shared" si="268"/>
        <v>5</v>
      </c>
      <c r="O268" s="73">
        <v>5</v>
      </c>
      <c r="P268" s="73"/>
      <c r="Q268" s="73"/>
      <c r="R268" s="73"/>
      <c r="S268" s="73"/>
      <c r="T268" s="73">
        <f t="shared" si="269"/>
        <v>0</v>
      </c>
      <c r="U268" s="73"/>
      <c r="V268" s="73"/>
      <c r="W268" s="73"/>
      <c r="X268" s="73"/>
      <c r="Y268" s="73"/>
      <c r="Z268" s="73"/>
      <c r="AA268" s="80"/>
      <c r="AB268" s="73"/>
    </row>
    <row r="269" ht="26.25" customHeight="1" spans="1:28">
      <c r="A269" s="67">
        <f>269-6</f>
        <v>263</v>
      </c>
      <c r="B269" s="68"/>
      <c r="C269" s="68"/>
      <c r="D269" s="68"/>
      <c r="E269" s="68"/>
      <c r="F269" s="68"/>
      <c r="G269" s="68"/>
      <c r="H269" s="68" t="s">
        <v>477</v>
      </c>
      <c r="I269" s="73">
        <f t="shared" si="267"/>
        <v>10.8</v>
      </c>
      <c r="J269" s="73"/>
      <c r="K269" s="73">
        <v>10.8</v>
      </c>
      <c r="L269" s="73"/>
      <c r="M269" s="73"/>
      <c r="N269" s="73">
        <f t="shared" si="268"/>
        <v>10.8</v>
      </c>
      <c r="O269" s="73">
        <v>10.8</v>
      </c>
      <c r="P269" s="73"/>
      <c r="Q269" s="73"/>
      <c r="R269" s="73"/>
      <c r="S269" s="73"/>
      <c r="T269" s="73">
        <f t="shared" si="269"/>
        <v>0</v>
      </c>
      <c r="U269" s="73"/>
      <c r="V269" s="73"/>
      <c r="W269" s="73"/>
      <c r="X269" s="73"/>
      <c r="Y269" s="73"/>
      <c r="Z269" s="73"/>
      <c r="AA269" s="80"/>
      <c r="AB269" s="73"/>
    </row>
    <row r="270" ht="26.25" customHeight="1" spans="1:28">
      <c r="A270" s="67">
        <f>270-6</f>
        <v>264</v>
      </c>
      <c r="B270" s="68"/>
      <c r="C270" s="68"/>
      <c r="D270" s="68"/>
      <c r="E270" s="68"/>
      <c r="F270" s="68" t="s">
        <v>478</v>
      </c>
      <c r="G270" s="68"/>
      <c r="H270" s="68"/>
      <c r="I270" s="73">
        <f t="shared" si="267"/>
        <v>855.9087</v>
      </c>
      <c r="J270" s="73">
        <f t="shared" ref="J270:M270" si="276">SUM(J271,J273,J277)</f>
        <v>0</v>
      </c>
      <c r="K270" s="73">
        <f t="shared" si="276"/>
        <v>0</v>
      </c>
      <c r="L270" s="73">
        <f t="shared" si="276"/>
        <v>855.9087</v>
      </c>
      <c r="M270" s="73">
        <f t="shared" si="276"/>
        <v>0</v>
      </c>
      <c r="N270" s="73">
        <f t="shared" si="268"/>
        <v>855.9087</v>
      </c>
      <c r="O270" s="73">
        <f t="shared" ref="O270:S270" si="277">SUM(O271,O273,O277)</f>
        <v>855.9087</v>
      </c>
      <c r="P270" s="73">
        <f t="shared" si="277"/>
        <v>0</v>
      </c>
      <c r="Q270" s="73">
        <f t="shared" si="277"/>
        <v>0</v>
      </c>
      <c r="R270" s="73">
        <f t="shared" si="277"/>
        <v>0</v>
      </c>
      <c r="S270" s="73">
        <f t="shared" si="277"/>
        <v>0</v>
      </c>
      <c r="T270" s="73">
        <f t="shared" si="269"/>
        <v>0</v>
      </c>
      <c r="U270" s="73">
        <f t="shared" ref="U270:AA270" si="278">SUM(U271,U273,U277)</f>
        <v>0</v>
      </c>
      <c r="V270" s="73">
        <f t="shared" si="278"/>
        <v>0</v>
      </c>
      <c r="W270" s="73">
        <f t="shared" si="278"/>
        <v>0</v>
      </c>
      <c r="X270" s="73">
        <f t="shared" si="278"/>
        <v>0</v>
      </c>
      <c r="Y270" s="73">
        <f t="shared" si="278"/>
        <v>0</v>
      </c>
      <c r="Z270" s="73">
        <f t="shared" si="278"/>
        <v>0</v>
      </c>
      <c r="AA270" s="80">
        <f t="shared" si="278"/>
        <v>0</v>
      </c>
      <c r="AB270" s="81" t="s">
        <v>245</v>
      </c>
    </row>
    <row r="271" ht="26.25" customHeight="1" spans="1:28">
      <c r="A271" s="67">
        <f>271-6</f>
        <v>265</v>
      </c>
      <c r="B271" s="68"/>
      <c r="C271" s="68"/>
      <c r="D271" s="68"/>
      <c r="E271" s="68"/>
      <c r="F271" s="68"/>
      <c r="G271" s="68" t="s">
        <v>479</v>
      </c>
      <c r="H271" s="68"/>
      <c r="I271" s="73">
        <f t="shared" si="267"/>
        <v>35</v>
      </c>
      <c r="J271" s="73">
        <f t="shared" ref="J271:M271" si="279">SUM(J272)</f>
        <v>0</v>
      </c>
      <c r="K271" s="73">
        <f t="shared" si="279"/>
        <v>0</v>
      </c>
      <c r="L271" s="73">
        <f t="shared" si="279"/>
        <v>35</v>
      </c>
      <c r="M271" s="73">
        <f t="shared" si="279"/>
        <v>0</v>
      </c>
      <c r="N271" s="73">
        <f t="shared" si="268"/>
        <v>35</v>
      </c>
      <c r="O271" s="73">
        <f t="shared" ref="O271:S271" si="280">SUM(O272)</f>
        <v>35</v>
      </c>
      <c r="P271" s="73">
        <f t="shared" si="280"/>
        <v>0</v>
      </c>
      <c r="Q271" s="73">
        <f t="shared" si="280"/>
        <v>0</v>
      </c>
      <c r="R271" s="73">
        <f t="shared" si="280"/>
        <v>0</v>
      </c>
      <c r="S271" s="73">
        <f t="shared" si="280"/>
        <v>0</v>
      </c>
      <c r="T271" s="73">
        <f t="shared" si="269"/>
        <v>0</v>
      </c>
      <c r="U271" s="73">
        <f t="shared" ref="U271:AA271" si="281">SUM(U272)</f>
        <v>0</v>
      </c>
      <c r="V271" s="73">
        <f t="shared" si="281"/>
        <v>0</v>
      </c>
      <c r="W271" s="73">
        <f t="shared" si="281"/>
        <v>0</v>
      </c>
      <c r="X271" s="73">
        <f t="shared" si="281"/>
        <v>0</v>
      </c>
      <c r="Y271" s="73">
        <f t="shared" si="281"/>
        <v>0</v>
      </c>
      <c r="Z271" s="73">
        <f t="shared" si="281"/>
        <v>0</v>
      </c>
      <c r="AA271" s="80">
        <f t="shared" si="281"/>
        <v>0</v>
      </c>
      <c r="AB271" s="73"/>
    </row>
    <row r="272" ht="26.25" customHeight="1" spans="1:28">
      <c r="A272" s="67">
        <f>272-6</f>
        <v>266</v>
      </c>
      <c r="B272" s="68"/>
      <c r="C272" s="68"/>
      <c r="D272" s="68"/>
      <c r="E272" s="68"/>
      <c r="F272" s="68"/>
      <c r="G272" s="68"/>
      <c r="H272" s="68" t="s">
        <v>480</v>
      </c>
      <c r="I272" s="73">
        <f t="shared" si="267"/>
        <v>35</v>
      </c>
      <c r="J272" s="73"/>
      <c r="K272" s="73"/>
      <c r="L272" s="73">
        <v>35</v>
      </c>
      <c r="M272" s="73"/>
      <c r="N272" s="73">
        <f t="shared" si="268"/>
        <v>35</v>
      </c>
      <c r="O272" s="73">
        <v>35</v>
      </c>
      <c r="P272" s="73"/>
      <c r="Q272" s="73"/>
      <c r="R272" s="73"/>
      <c r="S272" s="73"/>
      <c r="T272" s="73">
        <f t="shared" si="269"/>
        <v>0</v>
      </c>
      <c r="U272" s="73"/>
      <c r="V272" s="73"/>
      <c r="W272" s="73"/>
      <c r="X272" s="73"/>
      <c r="Y272" s="73"/>
      <c r="Z272" s="73"/>
      <c r="AA272" s="80"/>
      <c r="AB272" s="73"/>
    </row>
    <row r="273" ht="26.25" customHeight="1" spans="1:28">
      <c r="A273" s="67">
        <f>273-6</f>
        <v>267</v>
      </c>
      <c r="B273" s="68"/>
      <c r="C273" s="68"/>
      <c r="D273" s="68"/>
      <c r="E273" s="68"/>
      <c r="F273" s="68"/>
      <c r="G273" s="68" t="s">
        <v>481</v>
      </c>
      <c r="H273" s="68"/>
      <c r="I273" s="73">
        <f t="shared" si="267"/>
        <v>780.9087</v>
      </c>
      <c r="J273" s="73">
        <f t="shared" ref="J273:M273" si="282">SUM(J274:J276)</f>
        <v>0</v>
      </c>
      <c r="K273" s="73">
        <f t="shared" si="282"/>
        <v>0</v>
      </c>
      <c r="L273" s="73">
        <f t="shared" si="282"/>
        <v>780.9087</v>
      </c>
      <c r="M273" s="73">
        <f t="shared" si="282"/>
        <v>0</v>
      </c>
      <c r="N273" s="73">
        <f t="shared" si="268"/>
        <v>780.9087</v>
      </c>
      <c r="O273" s="73">
        <f t="shared" ref="O273:S273" si="283">SUM(O274:O276)</f>
        <v>780.9087</v>
      </c>
      <c r="P273" s="73">
        <f t="shared" si="283"/>
        <v>0</v>
      </c>
      <c r="Q273" s="73">
        <f t="shared" si="283"/>
        <v>0</v>
      </c>
      <c r="R273" s="73">
        <f t="shared" si="283"/>
        <v>0</v>
      </c>
      <c r="S273" s="73">
        <f t="shared" si="283"/>
        <v>0</v>
      </c>
      <c r="T273" s="73">
        <f t="shared" si="269"/>
        <v>0</v>
      </c>
      <c r="U273" s="73">
        <f t="shared" ref="U273:AA273" si="284">SUM(U274:U276)</f>
        <v>0</v>
      </c>
      <c r="V273" s="73">
        <f t="shared" si="284"/>
        <v>0</v>
      </c>
      <c r="W273" s="73">
        <f t="shared" si="284"/>
        <v>0</v>
      </c>
      <c r="X273" s="73">
        <f t="shared" si="284"/>
        <v>0</v>
      </c>
      <c r="Y273" s="73">
        <f t="shared" si="284"/>
        <v>0</v>
      </c>
      <c r="Z273" s="73">
        <f t="shared" si="284"/>
        <v>0</v>
      </c>
      <c r="AA273" s="80">
        <f t="shared" si="284"/>
        <v>0</v>
      </c>
      <c r="AB273" s="73"/>
    </row>
    <row r="274" ht="26.25" customHeight="1" spans="1:28">
      <c r="A274" s="67">
        <f>274-6</f>
        <v>268</v>
      </c>
      <c r="B274" s="68"/>
      <c r="C274" s="68"/>
      <c r="D274" s="68"/>
      <c r="E274" s="68"/>
      <c r="F274" s="68"/>
      <c r="G274" s="68"/>
      <c r="H274" s="68" t="s">
        <v>482</v>
      </c>
      <c r="I274" s="73">
        <f t="shared" si="267"/>
        <v>45</v>
      </c>
      <c r="J274" s="73"/>
      <c r="K274" s="73"/>
      <c r="L274" s="73">
        <v>45</v>
      </c>
      <c r="M274" s="73"/>
      <c r="N274" s="73">
        <f t="shared" si="268"/>
        <v>45</v>
      </c>
      <c r="O274" s="73">
        <v>45</v>
      </c>
      <c r="P274" s="73"/>
      <c r="Q274" s="73"/>
      <c r="R274" s="73"/>
      <c r="S274" s="73"/>
      <c r="T274" s="73">
        <f t="shared" si="269"/>
        <v>0</v>
      </c>
      <c r="U274" s="73"/>
      <c r="V274" s="73"/>
      <c r="W274" s="73"/>
      <c r="X274" s="73"/>
      <c r="Y274" s="73"/>
      <c r="Z274" s="73"/>
      <c r="AA274" s="80"/>
      <c r="AB274" s="73"/>
    </row>
    <row r="275" ht="26.25" customHeight="1" spans="1:28">
      <c r="A275" s="67">
        <f>275-6</f>
        <v>269</v>
      </c>
      <c r="B275" s="68"/>
      <c r="C275" s="68"/>
      <c r="D275" s="68"/>
      <c r="E275" s="68"/>
      <c r="F275" s="68"/>
      <c r="G275" s="68"/>
      <c r="H275" s="68" t="s">
        <v>483</v>
      </c>
      <c r="I275" s="73">
        <f t="shared" si="267"/>
        <v>469.9087</v>
      </c>
      <c r="J275" s="73"/>
      <c r="K275" s="73"/>
      <c r="L275" s="73">
        <v>469.9087</v>
      </c>
      <c r="M275" s="73"/>
      <c r="N275" s="73">
        <f t="shared" si="268"/>
        <v>469.9087</v>
      </c>
      <c r="O275" s="73">
        <v>469.9087</v>
      </c>
      <c r="P275" s="73"/>
      <c r="Q275" s="73"/>
      <c r="R275" s="73"/>
      <c r="S275" s="73"/>
      <c r="T275" s="73">
        <f t="shared" si="269"/>
        <v>0</v>
      </c>
      <c r="U275" s="73"/>
      <c r="V275" s="73"/>
      <c r="W275" s="73"/>
      <c r="X275" s="73"/>
      <c r="Y275" s="73"/>
      <c r="Z275" s="73"/>
      <c r="AA275" s="80"/>
      <c r="AB275" s="73"/>
    </row>
    <row r="276" ht="26.25" customHeight="1" spans="1:28">
      <c r="A276" s="67">
        <f>276-6</f>
        <v>270</v>
      </c>
      <c r="B276" s="68"/>
      <c r="C276" s="68"/>
      <c r="D276" s="68"/>
      <c r="E276" s="68"/>
      <c r="F276" s="68"/>
      <c r="G276" s="68"/>
      <c r="H276" s="68" t="s">
        <v>484</v>
      </c>
      <c r="I276" s="73">
        <f t="shared" si="267"/>
        <v>266</v>
      </c>
      <c r="J276" s="73"/>
      <c r="K276" s="73"/>
      <c r="L276" s="73">
        <v>266</v>
      </c>
      <c r="M276" s="73"/>
      <c r="N276" s="73">
        <f t="shared" si="268"/>
        <v>266</v>
      </c>
      <c r="O276" s="73">
        <v>266</v>
      </c>
      <c r="P276" s="73"/>
      <c r="Q276" s="73"/>
      <c r="R276" s="73"/>
      <c r="S276" s="73"/>
      <c r="T276" s="73">
        <f t="shared" si="269"/>
        <v>0</v>
      </c>
      <c r="U276" s="73"/>
      <c r="V276" s="73"/>
      <c r="W276" s="73"/>
      <c r="X276" s="73"/>
      <c r="Y276" s="73"/>
      <c r="Z276" s="73"/>
      <c r="AA276" s="80"/>
      <c r="AB276" s="73"/>
    </row>
    <row r="277" ht="26.25" customHeight="1" spans="1:28">
      <c r="A277" s="67">
        <f>277-6</f>
        <v>271</v>
      </c>
      <c r="B277" s="68"/>
      <c r="C277" s="68"/>
      <c r="D277" s="68"/>
      <c r="E277" s="68"/>
      <c r="F277" s="68"/>
      <c r="G277" s="68" t="s">
        <v>485</v>
      </c>
      <c r="H277" s="68"/>
      <c r="I277" s="73">
        <f t="shared" si="267"/>
        <v>40</v>
      </c>
      <c r="J277" s="73">
        <f t="shared" ref="J277:M277" si="285">SUM(J278)</f>
        <v>0</v>
      </c>
      <c r="K277" s="73">
        <f t="shared" si="285"/>
        <v>0</v>
      </c>
      <c r="L277" s="73">
        <f t="shared" si="285"/>
        <v>40</v>
      </c>
      <c r="M277" s="73">
        <f t="shared" si="285"/>
        <v>0</v>
      </c>
      <c r="N277" s="73">
        <f t="shared" si="268"/>
        <v>40</v>
      </c>
      <c r="O277" s="73">
        <f t="shared" ref="O277:S277" si="286">SUM(O278)</f>
        <v>40</v>
      </c>
      <c r="P277" s="73">
        <f t="shared" si="286"/>
        <v>0</v>
      </c>
      <c r="Q277" s="73">
        <f t="shared" si="286"/>
        <v>0</v>
      </c>
      <c r="R277" s="73">
        <f t="shared" si="286"/>
        <v>0</v>
      </c>
      <c r="S277" s="73">
        <f t="shared" si="286"/>
        <v>0</v>
      </c>
      <c r="T277" s="73">
        <f t="shared" si="269"/>
        <v>0</v>
      </c>
      <c r="U277" s="73">
        <f t="shared" ref="U277:AA277" si="287">SUM(U278)</f>
        <v>0</v>
      </c>
      <c r="V277" s="73">
        <f t="shared" si="287"/>
        <v>0</v>
      </c>
      <c r="W277" s="73">
        <f t="shared" si="287"/>
        <v>0</v>
      </c>
      <c r="X277" s="73">
        <f t="shared" si="287"/>
        <v>0</v>
      </c>
      <c r="Y277" s="73">
        <f t="shared" si="287"/>
        <v>0</v>
      </c>
      <c r="Z277" s="73">
        <f t="shared" si="287"/>
        <v>0</v>
      </c>
      <c r="AA277" s="80">
        <f t="shared" si="287"/>
        <v>0</v>
      </c>
      <c r="AB277" s="73"/>
    </row>
    <row r="278" ht="26.25" customHeight="1" spans="1:28">
      <c r="A278" s="67">
        <f>278-6</f>
        <v>272</v>
      </c>
      <c r="B278" s="68"/>
      <c r="C278" s="68"/>
      <c r="D278" s="68"/>
      <c r="E278" s="68"/>
      <c r="F278" s="68"/>
      <c r="G278" s="68"/>
      <c r="H278" s="68" t="s">
        <v>486</v>
      </c>
      <c r="I278" s="73">
        <f t="shared" si="267"/>
        <v>40</v>
      </c>
      <c r="J278" s="73"/>
      <c r="K278" s="73"/>
      <c r="L278" s="73">
        <v>40</v>
      </c>
      <c r="M278" s="73"/>
      <c r="N278" s="73">
        <f t="shared" si="268"/>
        <v>40</v>
      </c>
      <c r="O278" s="73">
        <v>40</v>
      </c>
      <c r="P278" s="73"/>
      <c r="Q278" s="73"/>
      <c r="R278" s="73"/>
      <c r="S278" s="73"/>
      <c r="T278" s="73">
        <f t="shared" si="269"/>
        <v>0</v>
      </c>
      <c r="U278" s="73"/>
      <c r="V278" s="73"/>
      <c r="W278" s="73"/>
      <c r="X278" s="73"/>
      <c r="Y278" s="73"/>
      <c r="Z278" s="73"/>
      <c r="AA278" s="80"/>
      <c r="AB278" s="73"/>
    </row>
    <row r="279" ht="26.25" customHeight="1" spans="1:28">
      <c r="A279" s="67">
        <f>279-6</f>
        <v>273</v>
      </c>
      <c r="B279" s="68"/>
      <c r="C279" s="68"/>
      <c r="D279" s="68"/>
      <c r="E279" s="68"/>
      <c r="F279" s="68" t="s">
        <v>487</v>
      </c>
      <c r="G279" s="68"/>
      <c r="H279" s="68"/>
      <c r="I279" s="73">
        <f t="shared" si="267"/>
        <v>80</v>
      </c>
      <c r="J279" s="73">
        <f t="shared" ref="J279:M279" si="288">SUM(J280,J282)</f>
        <v>0</v>
      </c>
      <c r="K279" s="73">
        <f t="shared" si="288"/>
        <v>0</v>
      </c>
      <c r="L279" s="73">
        <f t="shared" si="288"/>
        <v>80</v>
      </c>
      <c r="M279" s="73">
        <f t="shared" si="288"/>
        <v>0</v>
      </c>
      <c r="N279" s="73">
        <f t="shared" si="268"/>
        <v>80</v>
      </c>
      <c r="O279" s="73">
        <f t="shared" ref="O279:S279" si="289">SUM(O280,O282)</f>
        <v>80</v>
      </c>
      <c r="P279" s="73">
        <f t="shared" si="289"/>
        <v>0</v>
      </c>
      <c r="Q279" s="73">
        <f t="shared" si="289"/>
        <v>0</v>
      </c>
      <c r="R279" s="73">
        <f t="shared" si="289"/>
        <v>0</v>
      </c>
      <c r="S279" s="73">
        <f t="shared" si="289"/>
        <v>0</v>
      </c>
      <c r="T279" s="73">
        <f t="shared" si="269"/>
        <v>0</v>
      </c>
      <c r="U279" s="73">
        <f t="shared" ref="U279:AA279" si="290">SUM(U280,U282)</f>
        <v>0</v>
      </c>
      <c r="V279" s="73">
        <f t="shared" si="290"/>
        <v>0</v>
      </c>
      <c r="W279" s="73">
        <f t="shared" si="290"/>
        <v>0</v>
      </c>
      <c r="X279" s="73">
        <f t="shared" si="290"/>
        <v>0</v>
      </c>
      <c r="Y279" s="73">
        <f t="shared" si="290"/>
        <v>0</v>
      </c>
      <c r="Z279" s="73">
        <f t="shared" si="290"/>
        <v>0</v>
      </c>
      <c r="AA279" s="80">
        <f t="shared" si="290"/>
        <v>0</v>
      </c>
      <c r="AB279" s="81" t="s">
        <v>245</v>
      </c>
    </row>
    <row r="280" ht="26.25" customHeight="1" spans="1:28">
      <c r="A280" s="67">
        <f>280-6</f>
        <v>274</v>
      </c>
      <c r="B280" s="68"/>
      <c r="C280" s="68"/>
      <c r="D280" s="68"/>
      <c r="E280" s="68"/>
      <c r="F280" s="68"/>
      <c r="G280" s="68" t="s">
        <v>488</v>
      </c>
      <c r="H280" s="68"/>
      <c r="I280" s="73">
        <f t="shared" si="267"/>
        <v>30</v>
      </c>
      <c r="J280" s="73">
        <f t="shared" ref="J280:M280" si="291">SUM(J281)</f>
        <v>0</v>
      </c>
      <c r="K280" s="73">
        <f t="shared" si="291"/>
        <v>0</v>
      </c>
      <c r="L280" s="73">
        <f t="shared" si="291"/>
        <v>30</v>
      </c>
      <c r="M280" s="73">
        <f t="shared" si="291"/>
        <v>0</v>
      </c>
      <c r="N280" s="73">
        <f t="shared" si="268"/>
        <v>30</v>
      </c>
      <c r="O280" s="73">
        <f t="shared" ref="O280:S280" si="292">SUM(O281)</f>
        <v>30</v>
      </c>
      <c r="P280" s="73">
        <f t="shared" si="292"/>
        <v>0</v>
      </c>
      <c r="Q280" s="73">
        <f t="shared" si="292"/>
        <v>0</v>
      </c>
      <c r="R280" s="73">
        <f t="shared" si="292"/>
        <v>0</v>
      </c>
      <c r="S280" s="73">
        <f t="shared" si="292"/>
        <v>0</v>
      </c>
      <c r="T280" s="73">
        <f t="shared" si="269"/>
        <v>0</v>
      </c>
      <c r="U280" s="73">
        <f t="shared" ref="U280:AA280" si="293">SUM(U281)</f>
        <v>0</v>
      </c>
      <c r="V280" s="73">
        <f t="shared" si="293"/>
        <v>0</v>
      </c>
      <c r="W280" s="73">
        <f t="shared" si="293"/>
        <v>0</v>
      </c>
      <c r="X280" s="73">
        <f t="shared" si="293"/>
        <v>0</v>
      </c>
      <c r="Y280" s="73">
        <f t="shared" si="293"/>
        <v>0</v>
      </c>
      <c r="Z280" s="73">
        <f t="shared" si="293"/>
        <v>0</v>
      </c>
      <c r="AA280" s="80">
        <f t="shared" si="293"/>
        <v>0</v>
      </c>
      <c r="AB280" s="73"/>
    </row>
    <row r="281" ht="26.25" customHeight="1" spans="1:28">
      <c r="A281" s="67">
        <f>281-6</f>
        <v>275</v>
      </c>
      <c r="B281" s="68"/>
      <c r="C281" s="68"/>
      <c r="D281" s="68"/>
      <c r="E281" s="68"/>
      <c r="F281" s="68"/>
      <c r="G281" s="68"/>
      <c r="H281" s="68" t="s">
        <v>489</v>
      </c>
      <c r="I281" s="73">
        <f t="shared" si="267"/>
        <v>30</v>
      </c>
      <c r="J281" s="73"/>
      <c r="K281" s="73"/>
      <c r="L281" s="73">
        <v>30</v>
      </c>
      <c r="M281" s="73"/>
      <c r="N281" s="73">
        <f t="shared" si="268"/>
        <v>30</v>
      </c>
      <c r="O281" s="73">
        <v>30</v>
      </c>
      <c r="P281" s="73"/>
      <c r="Q281" s="73"/>
      <c r="R281" s="73"/>
      <c r="S281" s="73"/>
      <c r="T281" s="73">
        <f t="shared" si="269"/>
        <v>0</v>
      </c>
      <c r="U281" s="73"/>
      <c r="V281" s="73"/>
      <c r="W281" s="73"/>
      <c r="X281" s="73"/>
      <c r="Y281" s="73"/>
      <c r="Z281" s="73"/>
      <c r="AA281" s="80"/>
      <c r="AB281" s="73"/>
    </row>
    <row r="282" ht="26.25" customHeight="1" spans="1:28">
      <c r="A282" s="67">
        <f>282-6</f>
        <v>276</v>
      </c>
      <c r="B282" s="68"/>
      <c r="C282" s="68"/>
      <c r="D282" s="68"/>
      <c r="E282" s="68"/>
      <c r="F282" s="68"/>
      <c r="G282" s="68" t="s">
        <v>490</v>
      </c>
      <c r="H282" s="68"/>
      <c r="I282" s="73">
        <f t="shared" si="267"/>
        <v>50</v>
      </c>
      <c r="J282" s="73">
        <f t="shared" ref="J282:M282" si="294">SUM(J283:J284)</f>
        <v>0</v>
      </c>
      <c r="K282" s="73">
        <f t="shared" si="294"/>
        <v>0</v>
      </c>
      <c r="L282" s="73">
        <f t="shared" si="294"/>
        <v>50</v>
      </c>
      <c r="M282" s="73">
        <f t="shared" si="294"/>
        <v>0</v>
      </c>
      <c r="N282" s="73">
        <f t="shared" si="268"/>
        <v>50</v>
      </c>
      <c r="O282" s="73">
        <f t="shared" ref="O282:S282" si="295">SUM(O283:O284)</f>
        <v>50</v>
      </c>
      <c r="P282" s="73">
        <f t="shared" si="295"/>
        <v>0</v>
      </c>
      <c r="Q282" s="73">
        <f t="shared" si="295"/>
        <v>0</v>
      </c>
      <c r="R282" s="73">
        <f t="shared" si="295"/>
        <v>0</v>
      </c>
      <c r="S282" s="73">
        <f t="shared" si="295"/>
        <v>0</v>
      </c>
      <c r="T282" s="73">
        <f t="shared" si="269"/>
        <v>0</v>
      </c>
      <c r="U282" s="73">
        <f t="shared" ref="U282:AA282" si="296">SUM(U283:U284)</f>
        <v>0</v>
      </c>
      <c r="V282" s="73">
        <f t="shared" si="296"/>
        <v>0</v>
      </c>
      <c r="W282" s="73">
        <f t="shared" si="296"/>
        <v>0</v>
      </c>
      <c r="X282" s="73">
        <f t="shared" si="296"/>
        <v>0</v>
      </c>
      <c r="Y282" s="73">
        <f t="shared" si="296"/>
        <v>0</v>
      </c>
      <c r="Z282" s="73">
        <f t="shared" si="296"/>
        <v>0</v>
      </c>
      <c r="AA282" s="80">
        <f t="shared" si="296"/>
        <v>0</v>
      </c>
      <c r="AB282" s="73"/>
    </row>
    <row r="283" ht="26.25" customHeight="1" spans="1:28">
      <c r="A283" s="67">
        <f>283-6</f>
        <v>277</v>
      </c>
      <c r="B283" s="68"/>
      <c r="C283" s="68"/>
      <c r="D283" s="68"/>
      <c r="E283" s="68"/>
      <c r="F283" s="68"/>
      <c r="G283" s="68"/>
      <c r="H283" s="68" t="s">
        <v>491</v>
      </c>
      <c r="I283" s="73">
        <f t="shared" si="267"/>
        <v>25</v>
      </c>
      <c r="J283" s="73"/>
      <c r="K283" s="73"/>
      <c r="L283" s="73">
        <v>25</v>
      </c>
      <c r="M283" s="73"/>
      <c r="N283" s="73">
        <f t="shared" si="268"/>
        <v>25</v>
      </c>
      <c r="O283" s="73">
        <v>25</v>
      </c>
      <c r="P283" s="73"/>
      <c r="Q283" s="73"/>
      <c r="R283" s="73"/>
      <c r="S283" s="73"/>
      <c r="T283" s="73">
        <f t="shared" si="269"/>
        <v>0</v>
      </c>
      <c r="U283" s="73"/>
      <c r="V283" s="73"/>
      <c r="W283" s="73"/>
      <c r="X283" s="73"/>
      <c r="Y283" s="73"/>
      <c r="Z283" s="73"/>
      <c r="AA283" s="80"/>
      <c r="AB283" s="73"/>
    </row>
    <row r="284" ht="26.25" customHeight="1" spans="1:28">
      <c r="A284" s="67">
        <f>284-6</f>
        <v>278</v>
      </c>
      <c r="B284" s="68"/>
      <c r="C284" s="68"/>
      <c r="D284" s="68"/>
      <c r="E284" s="68"/>
      <c r="F284" s="68"/>
      <c r="G284" s="68"/>
      <c r="H284" s="68" t="s">
        <v>492</v>
      </c>
      <c r="I284" s="73">
        <f t="shared" si="267"/>
        <v>25</v>
      </c>
      <c r="J284" s="73"/>
      <c r="K284" s="73"/>
      <c r="L284" s="73">
        <v>25</v>
      </c>
      <c r="M284" s="73"/>
      <c r="N284" s="73">
        <f t="shared" si="268"/>
        <v>25</v>
      </c>
      <c r="O284" s="73">
        <v>25</v>
      </c>
      <c r="P284" s="73"/>
      <c r="Q284" s="73"/>
      <c r="R284" s="73"/>
      <c r="S284" s="73"/>
      <c r="T284" s="73">
        <f t="shared" si="269"/>
        <v>0</v>
      </c>
      <c r="U284" s="73"/>
      <c r="V284" s="73"/>
      <c r="W284" s="73"/>
      <c r="X284" s="73"/>
      <c r="Y284" s="73"/>
      <c r="Z284" s="73"/>
      <c r="AA284" s="80"/>
      <c r="AB284" s="73"/>
    </row>
    <row r="285" ht="26.25" customHeight="1" spans="1:28">
      <c r="A285" s="67">
        <f>285-6</f>
        <v>279</v>
      </c>
      <c r="B285" s="68"/>
      <c r="C285" s="68"/>
      <c r="D285" s="68"/>
      <c r="E285" s="68"/>
      <c r="F285" s="68" t="s">
        <v>493</v>
      </c>
      <c r="G285" s="68"/>
      <c r="H285" s="68"/>
      <c r="I285" s="73">
        <f t="shared" si="267"/>
        <v>784.94</v>
      </c>
      <c r="J285" s="73">
        <f t="shared" ref="J285:M285" si="297">SUM(J286,J294,J296)</f>
        <v>0</v>
      </c>
      <c r="K285" s="73">
        <f t="shared" si="297"/>
        <v>784.94</v>
      </c>
      <c r="L285" s="73">
        <f t="shared" si="297"/>
        <v>0</v>
      </c>
      <c r="M285" s="73">
        <f t="shared" si="297"/>
        <v>0</v>
      </c>
      <c r="N285" s="73">
        <f t="shared" si="268"/>
        <v>784.94</v>
      </c>
      <c r="O285" s="73">
        <f t="shared" ref="O285:S285" si="298">SUM(O286,O294,O296)</f>
        <v>784.94</v>
      </c>
      <c r="P285" s="73">
        <f t="shared" si="298"/>
        <v>0</v>
      </c>
      <c r="Q285" s="73">
        <f t="shared" si="298"/>
        <v>0</v>
      </c>
      <c r="R285" s="73">
        <f t="shared" si="298"/>
        <v>0</v>
      </c>
      <c r="S285" s="73">
        <f t="shared" si="298"/>
        <v>0</v>
      </c>
      <c r="T285" s="73">
        <f t="shared" si="269"/>
        <v>0</v>
      </c>
      <c r="U285" s="73">
        <f t="shared" ref="U285:AA285" si="299">SUM(U286,U294,U296)</f>
        <v>0</v>
      </c>
      <c r="V285" s="73">
        <f t="shared" si="299"/>
        <v>0</v>
      </c>
      <c r="W285" s="73">
        <f t="shared" si="299"/>
        <v>0</v>
      </c>
      <c r="X285" s="73">
        <f t="shared" si="299"/>
        <v>0</v>
      </c>
      <c r="Y285" s="73">
        <f t="shared" si="299"/>
        <v>0</v>
      </c>
      <c r="Z285" s="73">
        <f t="shared" si="299"/>
        <v>0</v>
      </c>
      <c r="AA285" s="80">
        <f t="shared" si="299"/>
        <v>0</v>
      </c>
      <c r="AB285" s="81" t="s">
        <v>245</v>
      </c>
    </row>
    <row r="286" ht="26.25" customHeight="1" spans="1:28">
      <c r="A286" s="67">
        <f>286-6</f>
        <v>280</v>
      </c>
      <c r="B286" s="68"/>
      <c r="C286" s="68"/>
      <c r="D286" s="68"/>
      <c r="E286" s="68"/>
      <c r="F286" s="68"/>
      <c r="G286" s="68" t="s">
        <v>494</v>
      </c>
      <c r="H286" s="68"/>
      <c r="I286" s="73">
        <f t="shared" si="267"/>
        <v>395.94</v>
      </c>
      <c r="J286" s="73">
        <f t="shared" ref="J286:M286" si="300">SUM(J287:J293)</f>
        <v>0</v>
      </c>
      <c r="K286" s="73">
        <f t="shared" si="300"/>
        <v>395.94</v>
      </c>
      <c r="L286" s="73">
        <f t="shared" si="300"/>
        <v>0</v>
      </c>
      <c r="M286" s="73">
        <f t="shared" si="300"/>
        <v>0</v>
      </c>
      <c r="N286" s="73">
        <f t="shared" si="268"/>
        <v>395.94</v>
      </c>
      <c r="O286" s="73">
        <f t="shared" ref="O286:S286" si="301">SUM(O287:O293)</f>
        <v>395.94</v>
      </c>
      <c r="P286" s="73">
        <f t="shared" si="301"/>
        <v>0</v>
      </c>
      <c r="Q286" s="73">
        <f t="shared" si="301"/>
        <v>0</v>
      </c>
      <c r="R286" s="73">
        <f t="shared" si="301"/>
        <v>0</v>
      </c>
      <c r="S286" s="73">
        <f t="shared" si="301"/>
        <v>0</v>
      </c>
      <c r="T286" s="73">
        <f t="shared" si="269"/>
        <v>0</v>
      </c>
      <c r="U286" s="73">
        <f t="shared" ref="U286:AA286" si="302">SUM(U287:U293)</f>
        <v>0</v>
      </c>
      <c r="V286" s="73">
        <f t="shared" si="302"/>
        <v>0</v>
      </c>
      <c r="W286" s="73">
        <f t="shared" si="302"/>
        <v>0</v>
      </c>
      <c r="X286" s="73">
        <f t="shared" si="302"/>
        <v>0</v>
      </c>
      <c r="Y286" s="73">
        <f t="shared" si="302"/>
        <v>0</v>
      </c>
      <c r="Z286" s="73">
        <f t="shared" si="302"/>
        <v>0</v>
      </c>
      <c r="AA286" s="80">
        <f t="shared" si="302"/>
        <v>0</v>
      </c>
      <c r="AB286" s="73"/>
    </row>
    <row r="287" ht="26.25" customHeight="1" spans="1:28">
      <c r="A287" s="67">
        <f>287-6</f>
        <v>281</v>
      </c>
      <c r="B287" s="68"/>
      <c r="C287" s="68"/>
      <c r="D287" s="68"/>
      <c r="E287" s="68"/>
      <c r="F287" s="68"/>
      <c r="G287" s="68"/>
      <c r="H287" s="68" t="s">
        <v>495</v>
      </c>
      <c r="I287" s="73">
        <f t="shared" si="267"/>
        <v>110</v>
      </c>
      <c r="J287" s="73"/>
      <c r="K287" s="73">
        <v>110</v>
      </c>
      <c r="L287" s="73"/>
      <c r="M287" s="73"/>
      <c r="N287" s="73">
        <f t="shared" si="268"/>
        <v>110</v>
      </c>
      <c r="O287" s="73">
        <v>110</v>
      </c>
      <c r="P287" s="73"/>
      <c r="Q287" s="73"/>
      <c r="R287" s="73"/>
      <c r="S287" s="73"/>
      <c r="T287" s="73">
        <f t="shared" si="269"/>
        <v>0</v>
      </c>
      <c r="U287" s="73"/>
      <c r="V287" s="73"/>
      <c r="W287" s="73"/>
      <c r="X287" s="73"/>
      <c r="Y287" s="73"/>
      <c r="Z287" s="73"/>
      <c r="AA287" s="80"/>
      <c r="AB287" s="73"/>
    </row>
    <row r="288" ht="26.25" customHeight="1" spans="1:28">
      <c r="A288" s="67">
        <f>288-6</f>
        <v>282</v>
      </c>
      <c r="B288" s="68"/>
      <c r="C288" s="68"/>
      <c r="D288" s="68"/>
      <c r="E288" s="68"/>
      <c r="F288" s="68"/>
      <c r="G288" s="68"/>
      <c r="H288" s="68" t="s">
        <v>496</v>
      </c>
      <c r="I288" s="73">
        <f t="shared" si="267"/>
        <v>80</v>
      </c>
      <c r="J288" s="73"/>
      <c r="K288" s="73">
        <v>80</v>
      </c>
      <c r="L288" s="73"/>
      <c r="M288" s="73"/>
      <c r="N288" s="73">
        <f t="shared" si="268"/>
        <v>80</v>
      </c>
      <c r="O288" s="73">
        <v>80</v>
      </c>
      <c r="P288" s="73"/>
      <c r="Q288" s="73"/>
      <c r="R288" s="73"/>
      <c r="S288" s="73"/>
      <c r="T288" s="73">
        <f t="shared" si="269"/>
        <v>0</v>
      </c>
      <c r="U288" s="73"/>
      <c r="V288" s="73"/>
      <c r="W288" s="73"/>
      <c r="X288" s="73"/>
      <c r="Y288" s="73"/>
      <c r="Z288" s="73"/>
      <c r="AA288" s="80"/>
      <c r="AB288" s="73"/>
    </row>
    <row r="289" ht="26.25" customHeight="1" spans="1:28">
      <c r="A289" s="67">
        <f>289-6</f>
        <v>283</v>
      </c>
      <c r="B289" s="68"/>
      <c r="C289" s="68"/>
      <c r="D289" s="68"/>
      <c r="E289" s="68"/>
      <c r="F289" s="68"/>
      <c r="G289" s="68"/>
      <c r="H289" s="68" t="s">
        <v>497</v>
      </c>
      <c r="I289" s="73">
        <f t="shared" si="267"/>
        <v>50</v>
      </c>
      <c r="J289" s="73"/>
      <c r="K289" s="73">
        <v>50</v>
      </c>
      <c r="L289" s="73"/>
      <c r="M289" s="73"/>
      <c r="N289" s="73">
        <f t="shared" si="268"/>
        <v>50</v>
      </c>
      <c r="O289" s="73">
        <v>50</v>
      </c>
      <c r="P289" s="73"/>
      <c r="Q289" s="73"/>
      <c r="R289" s="73"/>
      <c r="S289" s="73"/>
      <c r="T289" s="73">
        <f t="shared" si="269"/>
        <v>0</v>
      </c>
      <c r="U289" s="73"/>
      <c r="V289" s="73"/>
      <c r="W289" s="73"/>
      <c r="X289" s="73"/>
      <c r="Y289" s="73"/>
      <c r="Z289" s="73"/>
      <c r="AA289" s="80"/>
      <c r="AB289" s="73"/>
    </row>
    <row r="290" ht="26.25" customHeight="1" spans="1:28">
      <c r="A290" s="67">
        <f>290-6</f>
        <v>284</v>
      </c>
      <c r="B290" s="68"/>
      <c r="C290" s="68"/>
      <c r="D290" s="68"/>
      <c r="E290" s="68"/>
      <c r="F290" s="68"/>
      <c r="G290" s="68"/>
      <c r="H290" s="68" t="s">
        <v>498</v>
      </c>
      <c r="I290" s="73">
        <f t="shared" si="267"/>
        <v>94</v>
      </c>
      <c r="J290" s="73"/>
      <c r="K290" s="73">
        <v>94</v>
      </c>
      <c r="L290" s="73"/>
      <c r="M290" s="73"/>
      <c r="N290" s="73">
        <f t="shared" si="268"/>
        <v>94</v>
      </c>
      <c r="O290" s="73">
        <v>94</v>
      </c>
      <c r="P290" s="73"/>
      <c r="Q290" s="73"/>
      <c r="R290" s="73"/>
      <c r="S290" s="73"/>
      <c r="T290" s="73">
        <f t="shared" si="269"/>
        <v>0</v>
      </c>
      <c r="U290" s="73"/>
      <c r="V290" s="73"/>
      <c r="W290" s="73"/>
      <c r="X290" s="73"/>
      <c r="Y290" s="73"/>
      <c r="Z290" s="73"/>
      <c r="AA290" s="80"/>
      <c r="AB290" s="73"/>
    </row>
    <row r="291" ht="26.25" customHeight="1" spans="1:28">
      <c r="A291" s="67">
        <f>291-6</f>
        <v>285</v>
      </c>
      <c r="B291" s="68"/>
      <c r="C291" s="68"/>
      <c r="D291" s="68"/>
      <c r="E291" s="68"/>
      <c r="F291" s="68"/>
      <c r="G291" s="68"/>
      <c r="H291" s="68" t="s">
        <v>499</v>
      </c>
      <c r="I291" s="73">
        <f t="shared" si="267"/>
        <v>30</v>
      </c>
      <c r="J291" s="73"/>
      <c r="K291" s="73">
        <v>30</v>
      </c>
      <c r="L291" s="73"/>
      <c r="M291" s="73"/>
      <c r="N291" s="73">
        <f t="shared" si="268"/>
        <v>30</v>
      </c>
      <c r="O291" s="73">
        <v>30</v>
      </c>
      <c r="P291" s="73"/>
      <c r="Q291" s="73"/>
      <c r="R291" s="73"/>
      <c r="S291" s="73"/>
      <c r="T291" s="73">
        <f t="shared" si="269"/>
        <v>0</v>
      </c>
      <c r="U291" s="73"/>
      <c r="V291" s="73"/>
      <c r="W291" s="73"/>
      <c r="X291" s="73"/>
      <c r="Y291" s="73"/>
      <c r="Z291" s="73"/>
      <c r="AA291" s="80"/>
      <c r="AB291" s="73"/>
    </row>
    <row r="292" ht="26.25" customHeight="1" spans="1:28">
      <c r="A292" s="67">
        <f>292-6</f>
        <v>286</v>
      </c>
      <c r="B292" s="68"/>
      <c r="C292" s="68"/>
      <c r="D292" s="68"/>
      <c r="E292" s="68"/>
      <c r="F292" s="68"/>
      <c r="G292" s="68"/>
      <c r="H292" s="68" t="s">
        <v>500</v>
      </c>
      <c r="I292" s="73">
        <f t="shared" si="267"/>
        <v>30</v>
      </c>
      <c r="J292" s="73"/>
      <c r="K292" s="73">
        <v>30</v>
      </c>
      <c r="L292" s="73"/>
      <c r="M292" s="73"/>
      <c r="N292" s="73">
        <f t="shared" si="268"/>
        <v>30</v>
      </c>
      <c r="O292" s="73">
        <v>30</v>
      </c>
      <c r="P292" s="73"/>
      <c r="Q292" s="73"/>
      <c r="R292" s="73"/>
      <c r="S292" s="73"/>
      <c r="T292" s="73">
        <f t="shared" si="269"/>
        <v>0</v>
      </c>
      <c r="U292" s="73"/>
      <c r="V292" s="73"/>
      <c r="W292" s="73"/>
      <c r="X292" s="73"/>
      <c r="Y292" s="73"/>
      <c r="Z292" s="73"/>
      <c r="AA292" s="80"/>
      <c r="AB292" s="73"/>
    </row>
    <row r="293" ht="26.25" customHeight="1" spans="1:28">
      <c r="A293" s="67">
        <f>293-6</f>
        <v>287</v>
      </c>
      <c r="B293" s="68"/>
      <c r="C293" s="68"/>
      <c r="D293" s="68"/>
      <c r="E293" s="68"/>
      <c r="F293" s="68"/>
      <c r="G293" s="68"/>
      <c r="H293" s="68" t="s">
        <v>501</v>
      </c>
      <c r="I293" s="73">
        <f t="shared" si="267"/>
        <v>1.94</v>
      </c>
      <c r="J293" s="73"/>
      <c r="K293" s="73">
        <v>1.94</v>
      </c>
      <c r="L293" s="73"/>
      <c r="M293" s="73"/>
      <c r="N293" s="73">
        <f t="shared" si="268"/>
        <v>1.94</v>
      </c>
      <c r="O293" s="73">
        <v>1.94</v>
      </c>
      <c r="P293" s="73"/>
      <c r="Q293" s="73"/>
      <c r="R293" s="73"/>
      <c r="S293" s="73"/>
      <c r="T293" s="73">
        <f t="shared" si="269"/>
        <v>0</v>
      </c>
      <c r="U293" s="73"/>
      <c r="V293" s="73"/>
      <c r="W293" s="73"/>
      <c r="X293" s="73"/>
      <c r="Y293" s="73"/>
      <c r="Z293" s="73"/>
      <c r="AA293" s="80"/>
      <c r="AB293" s="73"/>
    </row>
    <row r="294" ht="26.25" customHeight="1" spans="1:28">
      <c r="A294" s="67">
        <f>294-6</f>
        <v>288</v>
      </c>
      <c r="B294" s="68"/>
      <c r="C294" s="68"/>
      <c r="D294" s="68"/>
      <c r="E294" s="68"/>
      <c r="F294" s="68"/>
      <c r="G294" s="68" t="s">
        <v>502</v>
      </c>
      <c r="H294" s="68"/>
      <c r="I294" s="73">
        <f t="shared" si="267"/>
        <v>75</v>
      </c>
      <c r="J294" s="73">
        <f t="shared" ref="J294:M294" si="303">SUM(J295)</f>
        <v>0</v>
      </c>
      <c r="K294" s="73">
        <f t="shared" si="303"/>
        <v>75</v>
      </c>
      <c r="L294" s="73">
        <f t="shared" si="303"/>
        <v>0</v>
      </c>
      <c r="M294" s="73">
        <f t="shared" si="303"/>
        <v>0</v>
      </c>
      <c r="N294" s="73">
        <f t="shared" si="268"/>
        <v>75</v>
      </c>
      <c r="O294" s="73">
        <f t="shared" ref="O294:S294" si="304">SUM(O295)</f>
        <v>75</v>
      </c>
      <c r="P294" s="73">
        <f t="shared" si="304"/>
        <v>0</v>
      </c>
      <c r="Q294" s="73">
        <f t="shared" si="304"/>
        <v>0</v>
      </c>
      <c r="R294" s="73">
        <f t="shared" si="304"/>
        <v>0</v>
      </c>
      <c r="S294" s="73">
        <f t="shared" si="304"/>
        <v>0</v>
      </c>
      <c r="T294" s="73">
        <f t="shared" si="269"/>
        <v>0</v>
      </c>
      <c r="U294" s="73">
        <f t="shared" ref="U294:AA294" si="305">SUM(U295)</f>
        <v>0</v>
      </c>
      <c r="V294" s="73">
        <f t="shared" si="305"/>
        <v>0</v>
      </c>
      <c r="W294" s="73">
        <f t="shared" si="305"/>
        <v>0</v>
      </c>
      <c r="X294" s="73">
        <f t="shared" si="305"/>
        <v>0</v>
      </c>
      <c r="Y294" s="73">
        <f t="shared" si="305"/>
        <v>0</v>
      </c>
      <c r="Z294" s="73">
        <f t="shared" si="305"/>
        <v>0</v>
      </c>
      <c r="AA294" s="80">
        <f t="shared" si="305"/>
        <v>0</v>
      </c>
      <c r="AB294" s="73"/>
    </row>
    <row r="295" ht="26.25" customHeight="1" spans="1:28">
      <c r="A295" s="67">
        <f>295-6</f>
        <v>289</v>
      </c>
      <c r="B295" s="68"/>
      <c r="C295" s="68"/>
      <c r="D295" s="68"/>
      <c r="E295" s="68"/>
      <c r="F295" s="68"/>
      <c r="G295" s="68"/>
      <c r="H295" s="68" t="s">
        <v>503</v>
      </c>
      <c r="I295" s="73">
        <f t="shared" si="267"/>
        <v>75</v>
      </c>
      <c r="J295" s="73"/>
      <c r="K295" s="73">
        <v>75</v>
      </c>
      <c r="L295" s="73"/>
      <c r="M295" s="73"/>
      <c r="N295" s="73">
        <f t="shared" si="268"/>
        <v>75</v>
      </c>
      <c r="O295" s="73">
        <v>75</v>
      </c>
      <c r="P295" s="73"/>
      <c r="Q295" s="73"/>
      <c r="R295" s="73"/>
      <c r="S295" s="73"/>
      <c r="T295" s="73">
        <f t="shared" si="269"/>
        <v>0</v>
      </c>
      <c r="U295" s="73"/>
      <c r="V295" s="73"/>
      <c r="W295" s="73"/>
      <c r="X295" s="73"/>
      <c r="Y295" s="73"/>
      <c r="Z295" s="73"/>
      <c r="AA295" s="80"/>
      <c r="AB295" s="73"/>
    </row>
    <row r="296" ht="26.25" customHeight="1" spans="1:28">
      <c r="A296" s="67">
        <f>296-6</f>
        <v>290</v>
      </c>
      <c r="B296" s="68"/>
      <c r="C296" s="68"/>
      <c r="D296" s="68"/>
      <c r="E296" s="68"/>
      <c r="F296" s="68"/>
      <c r="G296" s="68" t="s">
        <v>504</v>
      </c>
      <c r="H296" s="68"/>
      <c r="I296" s="73">
        <f t="shared" si="267"/>
        <v>314</v>
      </c>
      <c r="J296" s="73">
        <f t="shared" ref="J296:M296" si="306">SUM(J297:J299)</f>
        <v>0</v>
      </c>
      <c r="K296" s="73">
        <f t="shared" si="306"/>
        <v>314</v>
      </c>
      <c r="L296" s="73">
        <f t="shared" si="306"/>
        <v>0</v>
      </c>
      <c r="M296" s="73">
        <f t="shared" si="306"/>
        <v>0</v>
      </c>
      <c r="N296" s="73">
        <f t="shared" si="268"/>
        <v>314</v>
      </c>
      <c r="O296" s="73">
        <f t="shared" ref="O296:S296" si="307">SUM(O297:O299)</f>
        <v>314</v>
      </c>
      <c r="P296" s="73">
        <f t="shared" si="307"/>
        <v>0</v>
      </c>
      <c r="Q296" s="73">
        <f t="shared" si="307"/>
        <v>0</v>
      </c>
      <c r="R296" s="73">
        <f t="shared" si="307"/>
        <v>0</v>
      </c>
      <c r="S296" s="73">
        <f t="shared" si="307"/>
        <v>0</v>
      </c>
      <c r="T296" s="73">
        <f t="shared" si="269"/>
        <v>0</v>
      </c>
      <c r="U296" s="73">
        <f t="shared" ref="U296:AA296" si="308">SUM(U297:U299)</f>
        <v>0</v>
      </c>
      <c r="V296" s="73">
        <f t="shared" si="308"/>
        <v>0</v>
      </c>
      <c r="W296" s="73">
        <f t="shared" si="308"/>
        <v>0</v>
      </c>
      <c r="X296" s="73">
        <f t="shared" si="308"/>
        <v>0</v>
      </c>
      <c r="Y296" s="73">
        <f t="shared" si="308"/>
        <v>0</v>
      </c>
      <c r="Z296" s="73">
        <f t="shared" si="308"/>
        <v>0</v>
      </c>
      <c r="AA296" s="80">
        <f t="shared" si="308"/>
        <v>0</v>
      </c>
      <c r="AB296" s="73"/>
    </row>
    <row r="297" ht="26.25" customHeight="1" spans="1:28">
      <c r="A297" s="67">
        <f>297-6</f>
        <v>291</v>
      </c>
      <c r="B297" s="68"/>
      <c r="C297" s="68"/>
      <c r="D297" s="68"/>
      <c r="E297" s="68"/>
      <c r="F297" s="68"/>
      <c r="G297" s="68"/>
      <c r="H297" s="68" t="s">
        <v>505</v>
      </c>
      <c r="I297" s="73">
        <f t="shared" si="267"/>
        <v>3</v>
      </c>
      <c r="J297" s="73"/>
      <c r="K297" s="73">
        <v>3</v>
      </c>
      <c r="L297" s="73"/>
      <c r="M297" s="73"/>
      <c r="N297" s="73">
        <f t="shared" si="268"/>
        <v>3</v>
      </c>
      <c r="O297" s="73">
        <v>3</v>
      </c>
      <c r="P297" s="73"/>
      <c r="Q297" s="73"/>
      <c r="R297" s="73"/>
      <c r="S297" s="73"/>
      <c r="T297" s="73">
        <f t="shared" si="269"/>
        <v>0</v>
      </c>
      <c r="U297" s="73"/>
      <c r="V297" s="73"/>
      <c r="W297" s="73"/>
      <c r="X297" s="73"/>
      <c r="Y297" s="73"/>
      <c r="Z297" s="73"/>
      <c r="AA297" s="80"/>
      <c r="AB297" s="73"/>
    </row>
    <row r="298" ht="26.25" customHeight="1" spans="1:28">
      <c r="A298" s="67">
        <f>298-6</f>
        <v>292</v>
      </c>
      <c r="B298" s="68"/>
      <c r="C298" s="68"/>
      <c r="D298" s="68"/>
      <c r="E298" s="68"/>
      <c r="F298" s="68"/>
      <c r="G298" s="68"/>
      <c r="H298" s="68" t="s">
        <v>506</v>
      </c>
      <c r="I298" s="73">
        <f t="shared" si="267"/>
        <v>121</v>
      </c>
      <c r="J298" s="73"/>
      <c r="K298" s="73">
        <v>121</v>
      </c>
      <c r="L298" s="73"/>
      <c r="M298" s="73"/>
      <c r="N298" s="73">
        <f t="shared" si="268"/>
        <v>121</v>
      </c>
      <c r="O298" s="73">
        <v>121</v>
      </c>
      <c r="P298" s="73"/>
      <c r="Q298" s="73"/>
      <c r="R298" s="73"/>
      <c r="S298" s="73"/>
      <c r="T298" s="73">
        <f t="shared" si="269"/>
        <v>0</v>
      </c>
      <c r="U298" s="73"/>
      <c r="V298" s="73"/>
      <c r="W298" s="73"/>
      <c r="X298" s="73"/>
      <c r="Y298" s="73"/>
      <c r="Z298" s="73"/>
      <c r="AA298" s="80"/>
      <c r="AB298" s="73"/>
    </row>
    <row r="299" ht="26.25" customHeight="1" spans="1:28">
      <c r="A299" s="67">
        <f>299-6</f>
        <v>293</v>
      </c>
      <c r="B299" s="68"/>
      <c r="C299" s="68"/>
      <c r="D299" s="68"/>
      <c r="E299" s="68"/>
      <c r="F299" s="68"/>
      <c r="G299" s="68"/>
      <c r="H299" s="68" t="s">
        <v>507</v>
      </c>
      <c r="I299" s="73">
        <f t="shared" si="267"/>
        <v>190</v>
      </c>
      <c r="J299" s="73"/>
      <c r="K299" s="73">
        <v>190</v>
      </c>
      <c r="L299" s="73"/>
      <c r="M299" s="73"/>
      <c r="N299" s="73">
        <f t="shared" si="268"/>
        <v>190</v>
      </c>
      <c r="O299" s="73">
        <v>190</v>
      </c>
      <c r="P299" s="73"/>
      <c r="Q299" s="73"/>
      <c r="R299" s="73"/>
      <c r="S299" s="73"/>
      <c r="T299" s="73">
        <f t="shared" si="269"/>
        <v>0</v>
      </c>
      <c r="U299" s="73"/>
      <c r="V299" s="73"/>
      <c r="W299" s="73"/>
      <c r="X299" s="73"/>
      <c r="Y299" s="73"/>
      <c r="Z299" s="73"/>
      <c r="AA299" s="80"/>
      <c r="AB299" s="73"/>
    </row>
    <row r="300" ht="26.25" customHeight="1" spans="1:28">
      <c r="A300" s="67">
        <f>300-6</f>
        <v>294</v>
      </c>
      <c r="B300" s="68"/>
      <c r="C300" s="68"/>
      <c r="D300" s="68"/>
      <c r="E300" s="68"/>
      <c r="F300" s="68" t="s">
        <v>508</v>
      </c>
      <c r="G300" s="68"/>
      <c r="H300" s="68"/>
      <c r="I300" s="73">
        <f t="shared" si="267"/>
        <v>723.9853</v>
      </c>
      <c r="J300" s="73">
        <f t="shared" ref="J300:M300" si="309">SUM(J301,J306,J310)</f>
        <v>0</v>
      </c>
      <c r="K300" s="73">
        <f t="shared" si="309"/>
        <v>0</v>
      </c>
      <c r="L300" s="73">
        <f t="shared" si="309"/>
        <v>723.9853</v>
      </c>
      <c r="M300" s="73">
        <f t="shared" si="309"/>
        <v>0</v>
      </c>
      <c r="N300" s="73">
        <f t="shared" si="268"/>
        <v>723.9853</v>
      </c>
      <c r="O300" s="73">
        <f t="shared" ref="O300:S300" si="310">SUM(O301,O306,O310)</f>
        <v>723.9853</v>
      </c>
      <c r="P300" s="73">
        <f t="shared" si="310"/>
        <v>0</v>
      </c>
      <c r="Q300" s="73">
        <f t="shared" si="310"/>
        <v>0</v>
      </c>
      <c r="R300" s="73">
        <f t="shared" si="310"/>
        <v>0</v>
      </c>
      <c r="S300" s="73">
        <f t="shared" si="310"/>
        <v>0</v>
      </c>
      <c r="T300" s="73">
        <f t="shared" si="269"/>
        <v>0</v>
      </c>
      <c r="U300" s="73">
        <f t="shared" ref="U300:AA300" si="311">SUM(U301,U306,U310)</f>
        <v>0</v>
      </c>
      <c r="V300" s="73">
        <f t="shared" si="311"/>
        <v>0</v>
      </c>
      <c r="W300" s="73">
        <f t="shared" si="311"/>
        <v>0</v>
      </c>
      <c r="X300" s="73">
        <f t="shared" si="311"/>
        <v>0</v>
      </c>
      <c r="Y300" s="73">
        <f t="shared" si="311"/>
        <v>0</v>
      </c>
      <c r="Z300" s="73">
        <f t="shared" si="311"/>
        <v>0</v>
      </c>
      <c r="AA300" s="80">
        <f t="shared" si="311"/>
        <v>0</v>
      </c>
      <c r="AB300" s="81" t="s">
        <v>245</v>
      </c>
    </row>
    <row r="301" ht="26.25" customHeight="1" spans="1:28">
      <c r="A301" s="67">
        <f>301-6</f>
        <v>295</v>
      </c>
      <c r="B301" s="68"/>
      <c r="C301" s="68"/>
      <c r="D301" s="68"/>
      <c r="E301" s="68"/>
      <c r="F301" s="68"/>
      <c r="G301" s="68" t="s">
        <v>509</v>
      </c>
      <c r="H301" s="68"/>
      <c r="I301" s="73">
        <f t="shared" si="267"/>
        <v>211.9153</v>
      </c>
      <c r="J301" s="73">
        <f t="shared" ref="J301:M301" si="312">SUM(J302:J305)</f>
        <v>0</v>
      </c>
      <c r="K301" s="73">
        <f t="shared" si="312"/>
        <v>0</v>
      </c>
      <c r="L301" s="73">
        <f t="shared" si="312"/>
        <v>211.9153</v>
      </c>
      <c r="M301" s="73">
        <f t="shared" si="312"/>
        <v>0</v>
      </c>
      <c r="N301" s="73">
        <f t="shared" si="268"/>
        <v>211.9153</v>
      </c>
      <c r="O301" s="73">
        <f t="shared" ref="O301:S301" si="313">SUM(O302:O305)</f>
        <v>211.9153</v>
      </c>
      <c r="P301" s="73">
        <f t="shared" si="313"/>
        <v>0</v>
      </c>
      <c r="Q301" s="73">
        <f t="shared" si="313"/>
        <v>0</v>
      </c>
      <c r="R301" s="73">
        <f t="shared" si="313"/>
        <v>0</v>
      </c>
      <c r="S301" s="73">
        <f t="shared" si="313"/>
        <v>0</v>
      </c>
      <c r="T301" s="73">
        <f t="shared" si="269"/>
        <v>0</v>
      </c>
      <c r="U301" s="73">
        <f t="shared" ref="U301:AA301" si="314">SUM(U302:U305)</f>
        <v>0</v>
      </c>
      <c r="V301" s="73">
        <f t="shared" si="314"/>
        <v>0</v>
      </c>
      <c r="W301" s="73">
        <f t="shared" si="314"/>
        <v>0</v>
      </c>
      <c r="X301" s="73">
        <f t="shared" si="314"/>
        <v>0</v>
      </c>
      <c r="Y301" s="73">
        <f t="shared" si="314"/>
        <v>0</v>
      </c>
      <c r="Z301" s="73">
        <f t="shared" si="314"/>
        <v>0</v>
      </c>
      <c r="AA301" s="80">
        <f t="shared" si="314"/>
        <v>0</v>
      </c>
      <c r="AB301" s="73"/>
    </row>
    <row r="302" ht="26.25" customHeight="1" spans="1:28">
      <c r="A302" s="67">
        <f>302-6</f>
        <v>296</v>
      </c>
      <c r="B302" s="68"/>
      <c r="C302" s="68"/>
      <c r="D302" s="68"/>
      <c r="E302" s="68"/>
      <c r="F302" s="68"/>
      <c r="G302" s="68"/>
      <c r="H302" s="68" t="s">
        <v>510</v>
      </c>
      <c r="I302" s="73">
        <f t="shared" si="267"/>
        <v>41.3153</v>
      </c>
      <c r="J302" s="73"/>
      <c r="K302" s="73"/>
      <c r="L302" s="73">
        <v>41.3153</v>
      </c>
      <c r="M302" s="73"/>
      <c r="N302" s="73">
        <f t="shared" si="268"/>
        <v>41.3153</v>
      </c>
      <c r="O302" s="73">
        <v>41.3153</v>
      </c>
      <c r="P302" s="73"/>
      <c r="Q302" s="73"/>
      <c r="R302" s="73"/>
      <c r="S302" s="73"/>
      <c r="T302" s="73">
        <f t="shared" si="269"/>
        <v>0</v>
      </c>
      <c r="U302" s="73"/>
      <c r="V302" s="73"/>
      <c r="W302" s="73"/>
      <c r="X302" s="73"/>
      <c r="Y302" s="73"/>
      <c r="Z302" s="73"/>
      <c r="AA302" s="80"/>
      <c r="AB302" s="73"/>
    </row>
    <row r="303" ht="26.25" customHeight="1" spans="1:28">
      <c r="A303" s="67">
        <f>303-6</f>
        <v>297</v>
      </c>
      <c r="B303" s="68"/>
      <c r="C303" s="68"/>
      <c r="D303" s="68"/>
      <c r="E303" s="68"/>
      <c r="F303" s="68"/>
      <c r="G303" s="68"/>
      <c r="H303" s="68" t="s">
        <v>511</v>
      </c>
      <c r="I303" s="73">
        <f t="shared" si="267"/>
        <v>50</v>
      </c>
      <c r="J303" s="73"/>
      <c r="K303" s="73"/>
      <c r="L303" s="73">
        <v>50</v>
      </c>
      <c r="M303" s="73"/>
      <c r="N303" s="73">
        <f t="shared" si="268"/>
        <v>50</v>
      </c>
      <c r="O303" s="73">
        <v>50</v>
      </c>
      <c r="P303" s="73"/>
      <c r="Q303" s="73"/>
      <c r="R303" s="73"/>
      <c r="S303" s="73"/>
      <c r="T303" s="73">
        <f t="shared" si="269"/>
        <v>0</v>
      </c>
      <c r="U303" s="73"/>
      <c r="V303" s="73"/>
      <c r="W303" s="73"/>
      <c r="X303" s="73"/>
      <c r="Y303" s="73"/>
      <c r="Z303" s="73"/>
      <c r="AA303" s="80"/>
      <c r="AB303" s="73"/>
    </row>
    <row r="304" ht="26.25" customHeight="1" spans="1:28">
      <c r="A304" s="67">
        <f>304-6</f>
        <v>298</v>
      </c>
      <c r="B304" s="68"/>
      <c r="C304" s="68"/>
      <c r="D304" s="68"/>
      <c r="E304" s="68"/>
      <c r="F304" s="68"/>
      <c r="G304" s="68"/>
      <c r="H304" s="68" t="s">
        <v>512</v>
      </c>
      <c r="I304" s="73">
        <f t="shared" si="267"/>
        <v>22.6</v>
      </c>
      <c r="J304" s="73"/>
      <c r="K304" s="73"/>
      <c r="L304" s="73">
        <v>22.6</v>
      </c>
      <c r="M304" s="73"/>
      <c r="N304" s="73">
        <f t="shared" si="268"/>
        <v>22.6</v>
      </c>
      <c r="O304" s="73">
        <v>22.6</v>
      </c>
      <c r="P304" s="73"/>
      <c r="Q304" s="73"/>
      <c r="R304" s="73"/>
      <c r="S304" s="73"/>
      <c r="T304" s="73">
        <f t="shared" si="269"/>
        <v>0</v>
      </c>
      <c r="U304" s="73"/>
      <c r="V304" s="73"/>
      <c r="W304" s="73"/>
      <c r="X304" s="73"/>
      <c r="Y304" s="73"/>
      <c r="Z304" s="73"/>
      <c r="AA304" s="80"/>
      <c r="AB304" s="73"/>
    </row>
    <row r="305" ht="26.25" customHeight="1" spans="1:28">
      <c r="A305" s="67">
        <f>305-6</f>
        <v>299</v>
      </c>
      <c r="B305" s="68"/>
      <c r="C305" s="68"/>
      <c r="D305" s="68"/>
      <c r="E305" s="68"/>
      <c r="F305" s="68"/>
      <c r="G305" s="68"/>
      <c r="H305" s="68" t="s">
        <v>513</v>
      </c>
      <c r="I305" s="73">
        <f t="shared" si="267"/>
        <v>98</v>
      </c>
      <c r="J305" s="73"/>
      <c r="K305" s="73"/>
      <c r="L305" s="73">
        <v>98</v>
      </c>
      <c r="M305" s="73"/>
      <c r="N305" s="73">
        <f t="shared" si="268"/>
        <v>98</v>
      </c>
      <c r="O305" s="73">
        <v>98</v>
      </c>
      <c r="P305" s="73"/>
      <c r="Q305" s="73"/>
      <c r="R305" s="73"/>
      <c r="S305" s="73"/>
      <c r="T305" s="73">
        <f t="shared" si="269"/>
        <v>0</v>
      </c>
      <c r="U305" s="73"/>
      <c r="V305" s="73"/>
      <c r="W305" s="73"/>
      <c r="X305" s="73"/>
      <c r="Y305" s="73"/>
      <c r="Z305" s="73"/>
      <c r="AA305" s="80"/>
      <c r="AB305" s="73"/>
    </row>
    <row r="306" ht="26.25" customHeight="1" spans="1:28">
      <c r="A306" s="67">
        <f>306-6</f>
        <v>300</v>
      </c>
      <c r="B306" s="68"/>
      <c r="C306" s="68"/>
      <c r="D306" s="68"/>
      <c r="E306" s="68"/>
      <c r="F306" s="68"/>
      <c r="G306" s="68" t="s">
        <v>514</v>
      </c>
      <c r="H306" s="68"/>
      <c r="I306" s="73">
        <f t="shared" si="267"/>
        <v>76</v>
      </c>
      <c r="J306" s="73">
        <f t="shared" ref="J306:M306" si="315">SUM(J307:J309)</f>
        <v>0</v>
      </c>
      <c r="K306" s="73">
        <f t="shared" si="315"/>
        <v>0</v>
      </c>
      <c r="L306" s="73">
        <f t="shared" si="315"/>
        <v>76</v>
      </c>
      <c r="M306" s="73">
        <f t="shared" si="315"/>
        <v>0</v>
      </c>
      <c r="N306" s="73">
        <f t="shared" si="268"/>
        <v>76</v>
      </c>
      <c r="O306" s="73">
        <f t="shared" ref="O306:S306" si="316">SUM(O307:O309)</f>
        <v>76</v>
      </c>
      <c r="P306" s="73">
        <f t="shared" si="316"/>
        <v>0</v>
      </c>
      <c r="Q306" s="73">
        <f t="shared" si="316"/>
        <v>0</v>
      </c>
      <c r="R306" s="73">
        <f t="shared" si="316"/>
        <v>0</v>
      </c>
      <c r="S306" s="73">
        <f t="shared" si="316"/>
        <v>0</v>
      </c>
      <c r="T306" s="73">
        <f t="shared" si="269"/>
        <v>0</v>
      </c>
      <c r="U306" s="73">
        <f t="shared" ref="U306:AA306" si="317">SUM(U307:U309)</f>
        <v>0</v>
      </c>
      <c r="V306" s="73">
        <f t="shared" si="317"/>
        <v>0</v>
      </c>
      <c r="W306" s="73">
        <f t="shared" si="317"/>
        <v>0</v>
      </c>
      <c r="X306" s="73">
        <f t="shared" si="317"/>
        <v>0</v>
      </c>
      <c r="Y306" s="73">
        <f t="shared" si="317"/>
        <v>0</v>
      </c>
      <c r="Z306" s="73">
        <f t="shared" si="317"/>
        <v>0</v>
      </c>
      <c r="AA306" s="80">
        <f t="shared" si="317"/>
        <v>0</v>
      </c>
      <c r="AB306" s="73"/>
    </row>
    <row r="307" ht="26.25" customHeight="1" spans="1:28">
      <c r="A307" s="67">
        <f>307-6</f>
        <v>301</v>
      </c>
      <c r="B307" s="68"/>
      <c r="C307" s="68"/>
      <c r="D307" s="68"/>
      <c r="E307" s="68"/>
      <c r="F307" s="68"/>
      <c r="G307" s="68"/>
      <c r="H307" s="68" t="s">
        <v>515</v>
      </c>
      <c r="I307" s="73">
        <f t="shared" si="267"/>
        <v>28</v>
      </c>
      <c r="J307" s="73"/>
      <c r="K307" s="73"/>
      <c r="L307" s="73">
        <v>28</v>
      </c>
      <c r="M307" s="73"/>
      <c r="N307" s="73">
        <f t="shared" si="268"/>
        <v>28</v>
      </c>
      <c r="O307" s="73">
        <v>28</v>
      </c>
      <c r="P307" s="73"/>
      <c r="Q307" s="73"/>
      <c r="R307" s="73"/>
      <c r="S307" s="73"/>
      <c r="T307" s="73">
        <f t="shared" si="269"/>
        <v>0</v>
      </c>
      <c r="U307" s="73"/>
      <c r="V307" s="73"/>
      <c r="W307" s="73"/>
      <c r="X307" s="73"/>
      <c r="Y307" s="73"/>
      <c r="Z307" s="73"/>
      <c r="AA307" s="80"/>
      <c r="AB307" s="73"/>
    </row>
    <row r="308" ht="26.25" customHeight="1" spans="1:28">
      <c r="A308" s="67">
        <f>308-6</f>
        <v>302</v>
      </c>
      <c r="B308" s="68"/>
      <c r="C308" s="68"/>
      <c r="D308" s="68"/>
      <c r="E308" s="68"/>
      <c r="F308" s="68"/>
      <c r="G308" s="68"/>
      <c r="H308" s="68" t="s">
        <v>516</v>
      </c>
      <c r="I308" s="73">
        <f t="shared" si="267"/>
        <v>33</v>
      </c>
      <c r="J308" s="73"/>
      <c r="K308" s="73"/>
      <c r="L308" s="73">
        <v>33</v>
      </c>
      <c r="M308" s="73"/>
      <c r="N308" s="73">
        <f t="shared" si="268"/>
        <v>33</v>
      </c>
      <c r="O308" s="73">
        <v>33</v>
      </c>
      <c r="P308" s="73"/>
      <c r="Q308" s="73"/>
      <c r="R308" s="73"/>
      <c r="S308" s="73"/>
      <c r="T308" s="73">
        <f t="shared" si="269"/>
        <v>0</v>
      </c>
      <c r="U308" s="73"/>
      <c r="V308" s="73"/>
      <c r="W308" s="73"/>
      <c r="X308" s="73"/>
      <c r="Y308" s="73"/>
      <c r="Z308" s="73"/>
      <c r="AA308" s="80"/>
      <c r="AB308" s="73"/>
    </row>
    <row r="309" ht="26.25" customHeight="1" spans="1:28">
      <c r="A309" s="67">
        <f>309-6</f>
        <v>303</v>
      </c>
      <c r="B309" s="68"/>
      <c r="C309" s="68"/>
      <c r="D309" s="68"/>
      <c r="E309" s="68"/>
      <c r="F309" s="68"/>
      <c r="G309" s="68"/>
      <c r="H309" s="68" t="s">
        <v>517</v>
      </c>
      <c r="I309" s="73">
        <f t="shared" si="267"/>
        <v>15</v>
      </c>
      <c r="J309" s="73"/>
      <c r="K309" s="73"/>
      <c r="L309" s="73">
        <v>15</v>
      </c>
      <c r="M309" s="73"/>
      <c r="N309" s="73">
        <f t="shared" si="268"/>
        <v>15</v>
      </c>
      <c r="O309" s="73">
        <v>15</v>
      </c>
      <c r="P309" s="73"/>
      <c r="Q309" s="73"/>
      <c r="R309" s="73"/>
      <c r="S309" s="73"/>
      <c r="T309" s="73">
        <f t="shared" si="269"/>
        <v>0</v>
      </c>
      <c r="U309" s="73"/>
      <c r="V309" s="73"/>
      <c r="W309" s="73"/>
      <c r="X309" s="73"/>
      <c r="Y309" s="73"/>
      <c r="Z309" s="73"/>
      <c r="AA309" s="80"/>
      <c r="AB309" s="73"/>
    </row>
    <row r="310" ht="26.25" customHeight="1" spans="1:28">
      <c r="A310" s="67">
        <f>310-6</f>
        <v>304</v>
      </c>
      <c r="B310" s="68"/>
      <c r="C310" s="68"/>
      <c r="D310" s="68"/>
      <c r="E310" s="68"/>
      <c r="F310" s="68"/>
      <c r="G310" s="68" t="s">
        <v>518</v>
      </c>
      <c r="H310" s="68"/>
      <c r="I310" s="73">
        <f t="shared" si="267"/>
        <v>436.07</v>
      </c>
      <c r="J310" s="73">
        <f t="shared" ref="J310:M310" si="318">SUM(J311:J318)</f>
        <v>0</v>
      </c>
      <c r="K310" s="73">
        <f t="shared" si="318"/>
        <v>0</v>
      </c>
      <c r="L310" s="73">
        <f t="shared" si="318"/>
        <v>436.07</v>
      </c>
      <c r="M310" s="73">
        <f t="shared" si="318"/>
        <v>0</v>
      </c>
      <c r="N310" s="73">
        <f t="shared" si="268"/>
        <v>436.07</v>
      </c>
      <c r="O310" s="73">
        <f t="shared" ref="O310:S310" si="319">SUM(O311:O318)</f>
        <v>436.07</v>
      </c>
      <c r="P310" s="73">
        <f t="shared" si="319"/>
        <v>0</v>
      </c>
      <c r="Q310" s="73">
        <f t="shared" si="319"/>
        <v>0</v>
      </c>
      <c r="R310" s="73">
        <f t="shared" si="319"/>
        <v>0</v>
      </c>
      <c r="S310" s="73">
        <f t="shared" si="319"/>
        <v>0</v>
      </c>
      <c r="T310" s="73">
        <f t="shared" si="269"/>
        <v>0</v>
      </c>
      <c r="U310" s="73">
        <f t="shared" ref="U310:AA310" si="320">SUM(U311:U318)</f>
        <v>0</v>
      </c>
      <c r="V310" s="73">
        <f t="shared" si="320"/>
        <v>0</v>
      </c>
      <c r="W310" s="73">
        <f t="shared" si="320"/>
        <v>0</v>
      </c>
      <c r="X310" s="73">
        <f t="shared" si="320"/>
        <v>0</v>
      </c>
      <c r="Y310" s="73">
        <f t="shared" si="320"/>
        <v>0</v>
      </c>
      <c r="Z310" s="73">
        <f t="shared" si="320"/>
        <v>0</v>
      </c>
      <c r="AA310" s="80">
        <f t="shared" si="320"/>
        <v>0</v>
      </c>
      <c r="AB310" s="73"/>
    </row>
    <row r="311" ht="26.25" customHeight="1" spans="1:28">
      <c r="A311" s="67">
        <f>311-6</f>
        <v>305</v>
      </c>
      <c r="B311" s="68"/>
      <c r="C311" s="68"/>
      <c r="D311" s="68"/>
      <c r="E311" s="68"/>
      <c r="F311" s="68"/>
      <c r="G311" s="68"/>
      <c r="H311" s="68" t="s">
        <v>519</v>
      </c>
      <c r="I311" s="73">
        <f t="shared" si="267"/>
        <v>46.2</v>
      </c>
      <c r="J311" s="73"/>
      <c r="K311" s="73"/>
      <c r="L311" s="73">
        <v>46.2</v>
      </c>
      <c r="M311" s="73"/>
      <c r="N311" s="73">
        <f t="shared" si="268"/>
        <v>46.2</v>
      </c>
      <c r="O311" s="73">
        <v>46.2</v>
      </c>
      <c r="P311" s="73"/>
      <c r="Q311" s="73"/>
      <c r="R311" s="73"/>
      <c r="S311" s="73"/>
      <c r="T311" s="73">
        <f t="shared" si="269"/>
        <v>0</v>
      </c>
      <c r="U311" s="73"/>
      <c r="V311" s="73"/>
      <c r="W311" s="73"/>
      <c r="X311" s="73"/>
      <c r="Y311" s="73"/>
      <c r="Z311" s="73"/>
      <c r="AA311" s="80"/>
      <c r="AB311" s="73"/>
    </row>
    <row r="312" ht="26.25" customHeight="1" spans="1:28">
      <c r="A312" s="67">
        <f>312-6</f>
        <v>306</v>
      </c>
      <c r="B312" s="68"/>
      <c r="C312" s="68"/>
      <c r="D312" s="68"/>
      <c r="E312" s="68"/>
      <c r="F312" s="68"/>
      <c r="G312" s="68"/>
      <c r="H312" s="68" t="s">
        <v>520</v>
      </c>
      <c r="I312" s="73">
        <f t="shared" si="267"/>
        <v>140</v>
      </c>
      <c r="J312" s="73"/>
      <c r="K312" s="73"/>
      <c r="L312" s="73">
        <v>140</v>
      </c>
      <c r="M312" s="73"/>
      <c r="N312" s="73">
        <f t="shared" si="268"/>
        <v>140</v>
      </c>
      <c r="O312" s="73">
        <v>140</v>
      </c>
      <c r="P312" s="73"/>
      <c r="Q312" s="73"/>
      <c r="R312" s="73"/>
      <c r="S312" s="73"/>
      <c r="T312" s="73">
        <f t="shared" si="269"/>
        <v>0</v>
      </c>
      <c r="U312" s="73"/>
      <c r="V312" s="73"/>
      <c r="W312" s="73"/>
      <c r="X312" s="73"/>
      <c r="Y312" s="73"/>
      <c r="Z312" s="73"/>
      <c r="AA312" s="80"/>
      <c r="AB312" s="73"/>
    </row>
    <row r="313" ht="26.25" customHeight="1" spans="1:28">
      <c r="A313" s="67">
        <f>313-6</f>
        <v>307</v>
      </c>
      <c r="B313" s="68"/>
      <c r="C313" s="68"/>
      <c r="D313" s="68"/>
      <c r="E313" s="68"/>
      <c r="F313" s="68"/>
      <c r="G313" s="68"/>
      <c r="H313" s="68" t="s">
        <v>521</v>
      </c>
      <c r="I313" s="73">
        <f t="shared" si="267"/>
        <v>20</v>
      </c>
      <c r="J313" s="73"/>
      <c r="K313" s="73"/>
      <c r="L313" s="73">
        <v>20</v>
      </c>
      <c r="M313" s="73"/>
      <c r="N313" s="73">
        <f t="shared" si="268"/>
        <v>20</v>
      </c>
      <c r="O313" s="73">
        <v>20</v>
      </c>
      <c r="P313" s="73"/>
      <c r="Q313" s="73"/>
      <c r="R313" s="73"/>
      <c r="S313" s="73"/>
      <c r="T313" s="73">
        <f t="shared" si="269"/>
        <v>0</v>
      </c>
      <c r="U313" s="73"/>
      <c r="V313" s="73"/>
      <c r="W313" s="73"/>
      <c r="X313" s="73"/>
      <c r="Y313" s="73"/>
      <c r="Z313" s="73"/>
      <c r="AA313" s="80"/>
      <c r="AB313" s="73"/>
    </row>
    <row r="314" ht="26.25" customHeight="1" spans="1:28">
      <c r="A314" s="67">
        <f>314-6</f>
        <v>308</v>
      </c>
      <c r="B314" s="68"/>
      <c r="C314" s="68"/>
      <c r="D314" s="68"/>
      <c r="E314" s="68"/>
      <c r="F314" s="68"/>
      <c r="G314" s="68"/>
      <c r="H314" s="68" t="s">
        <v>522</v>
      </c>
      <c r="I314" s="73">
        <f t="shared" si="267"/>
        <v>15</v>
      </c>
      <c r="J314" s="73"/>
      <c r="K314" s="73"/>
      <c r="L314" s="73">
        <v>15</v>
      </c>
      <c r="M314" s="73"/>
      <c r="N314" s="73">
        <f t="shared" si="268"/>
        <v>15</v>
      </c>
      <c r="O314" s="73">
        <v>15</v>
      </c>
      <c r="P314" s="73"/>
      <c r="Q314" s="73"/>
      <c r="R314" s="73"/>
      <c r="S314" s="73"/>
      <c r="T314" s="73">
        <f t="shared" si="269"/>
        <v>0</v>
      </c>
      <c r="U314" s="73"/>
      <c r="V314" s="73"/>
      <c r="W314" s="73"/>
      <c r="X314" s="73"/>
      <c r="Y314" s="73"/>
      <c r="Z314" s="73"/>
      <c r="AA314" s="80"/>
      <c r="AB314" s="73"/>
    </row>
    <row r="315" ht="26.25" customHeight="1" spans="1:28">
      <c r="A315" s="67">
        <f>315-6</f>
        <v>309</v>
      </c>
      <c r="B315" s="68"/>
      <c r="C315" s="68"/>
      <c r="D315" s="68"/>
      <c r="E315" s="68"/>
      <c r="F315" s="68"/>
      <c r="G315" s="68"/>
      <c r="H315" s="68" t="s">
        <v>523</v>
      </c>
      <c r="I315" s="73">
        <f t="shared" si="267"/>
        <v>49</v>
      </c>
      <c r="J315" s="73"/>
      <c r="K315" s="73"/>
      <c r="L315" s="73">
        <v>49</v>
      </c>
      <c r="M315" s="73"/>
      <c r="N315" s="73">
        <f t="shared" si="268"/>
        <v>49</v>
      </c>
      <c r="O315" s="73">
        <v>49</v>
      </c>
      <c r="P315" s="73"/>
      <c r="Q315" s="73"/>
      <c r="R315" s="73"/>
      <c r="S315" s="73"/>
      <c r="T315" s="73">
        <f t="shared" si="269"/>
        <v>0</v>
      </c>
      <c r="U315" s="73"/>
      <c r="V315" s="73"/>
      <c r="W315" s="73"/>
      <c r="X315" s="73"/>
      <c r="Y315" s="73"/>
      <c r="Z315" s="73"/>
      <c r="AA315" s="80"/>
      <c r="AB315" s="73"/>
    </row>
    <row r="316" ht="26.25" customHeight="1" spans="1:28">
      <c r="A316" s="67">
        <f>316-6</f>
        <v>310</v>
      </c>
      <c r="B316" s="68"/>
      <c r="C316" s="68"/>
      <c r="D316" s="68"/>
      <c r="E316" s="68"/>
      <c r="F316" s="68"/>
      <c r="G316" s="68"/>
      <c r="H316" s="68" t="s">
        <v>524</v>
      </c>
      <c r="I316" s="73">
        <f t="shared" si="267"/>
        <v>21</v>
      </c>
      <c r="J316" s="73"/>
      <c r="K316" s="73"/>
      <c r="L316" s="73">
        <v>21</v>
      </c>
      <c r="M316" s="73"/>
      <c r="N316" s="73">
        <f t="shared" si="268"/>
        <v>21</v>
      </c>
      <c r="O316" s="73">
        <v>21</v>
      </c>
      <c r="P316" s="73"/>
      <c r="Q316" s="73"/>
      <c r="R316" s="73"/>
      <c r="S316" s="73"/>
      <c r="T316" s="73">
        <f t="shared" si="269"/>
        <v>0</v>
      </c>
      <c r="U316" s="73"/>
      <c r="V316" s="73"/>
      <c r="W316" s="73"/>
      <c r="X316" s="73"/>
      <c r="Y316" s="73"/>
      <c r="Z316" s="73"/>
      <c r="AA316" s="80"/>
      <c r="AB316" s="73"/>
    </row>
    <row r="317" ht="26.25" customHeight="1" spans="1:28">
      <c r="A317" s="67">
        <f>317-6</f>
        <v>311</v>
      </c>
      <c r="B317" s="68"/>
      <c r="C317" s="68"/>
      <c r="D317" s="68"/>
      <c r="E317" s="68"/>
      <c r="F317" s="68"/>
      <c r="G317" s="68"/>
      <c r="H317" s="68" t="s">
        <v>525</v>
      </c>
      <c r="I317" s="73">
        <f t="shared" si="267"/>
        <v>126</v>
      </c>
      <c r="J317" s="73"/>
      <c r="K317" s="73"/>
      <c r="L317" s="73">
        <v>126</v>
      </c>
      <c r="M317" s="73"/>
      <c r="N317" s="73">
        <f t="shared" si="268"/>
        <v>126</v>
      </c>
      <c r="O317" s="73">
        <v>126</v>
      </c>
      <c r="P317" s="73"/>
      <c r="Q317" s="73"/>
      <c r="R317" s="73"/>
      <c r="S317" s="73"/>
      <c r="T317" s="73">
        <f t="shared" si="269"/>
        <v>0</v>
      </c>
      <c r="U317" s="73"/>
      <c r="V317" s="73"/>
      <c r="W317" s="73"/>
      <c r="X317" s="73"/>
      <c r="Y317" s="73"/>
      <c r="Z317" s="73"/>
      <c r="AA317" s="80"/>
      <c r="AB317" s="73"/>
    </row>
    <row r="318" ht="26.25" customHeight="1" spans="1:28">
      <c r="A318" s="67">
        <f>318-6</f>
        <v>312</v>
      </c>
      <c r="B318" s="68"/>
      <c r="C318" s="68"/>
      <c r="D318" s="68"/>
      <c r="E318" s="68"/>
      <c r="F318" s="68"/>
      <c r="G318" s="68"/>
      <c r="H318" s="68" t="s">
        <v>526</v>
      </c>
      <c r="I318" s="73">
        <f t="shared" si="267"/>
        <v>18.87</v>
      </c>
      <c r="J318" s="73"/>
      <c r="K318" s="73"/>
      <c r="L318" s="73">
        <v>18.87</v>
      </c>
      <c r="M318" s="73"/>
      <c r="N318" s="73">
        <f t="shared" si="268"/>
        <v>18.87</v>
      </c>
      <c r="O318" s="73">
        <v>18.87</v>
      </c>
      <c r="P318" s="73"/>
      <c r="Q318" s="73"/>
      <c r="R318" s="73"/>
      <c r="S318" s="73"/>
      <c r="T318" s="73">
        <f t="shared" si="269"/>
        <v>0</v>
      </c>
      <c r="U318" s="73"/>
      <c r="V318" s="73"/>
      <c r="W318" s="73"/>
      <c r="X318" s="73"/>
      <c r="Y318" s="73"/>
      <c r="Z318" s="73"/>
      <c r="AA318" s="80"/>
      <c r="AB318" s="73"/>
    </row>
    <row r="319" ht="26.25" customHeight="1" spans="1:28">
      <c r="A319" s="67">
        <f>319-6</f>
        <v>313</v>
      </c>
      <c r="B319" s="68"/>
      <c r="C319" s="68"/>
      <c r="D319" s="68"/>
      <c r="E319" s="68"/>
      <c r="F319" s="68" t="s">
        <v>527</v>
      </c>
      <c r="G319" s="68"/>
      <c r="H319" s="68"/>
      <c r="I319" s="73">
        <f t="shared" si="267"/>
        <v>20</v>
      </c>
      <c r="J319" s="73">
        <f t="shared" ref="J319:M319" si="321">SUM(J320)</f>
        <v>0</v>
      </c>
      <c r="K319" s="73">
        <f t="shared" si="321"/>
        <v>0</v>
      </c>
      <c r="L319" s="73">
        <f t="shared" si="321"/>
        <v>0</v>
      </c>
      <c r="M319" s="73">
        <f t="shared" si="321"/>
        <v>20</v>
      </c>
      <c r="N319" s="73">
        <f t="shared" si="268"/>
        <v>20</v>
      </c>
      <c r="O319" s="73">
        <f t="shared" ref="O319:S319" si="322">SUM(O320)</f>
        <v>20</v>
      </c>
      <c r="P319" s="73">
        <f t="shared" si="322"/>
        <v>0</v>
      </c>
      <c r="Q319" s="73">
        <f t="shared" si="322"/>
        <v>0</v>
      </c>
      <c r="R319" s="73">
        <f t="shared" si="322"/>
        <v>0</v>
      </c>
      <c r="S319" s="73">
        <f t="shared" si="322"/>
        <v>0</v>
      </c>
      <c r="T319" s="73">
        <f t="shared" si="269"/>
        <v>0</v>
      </c>
      <c r="U319" s="73">
        <f t="shared" ref="U319:AA319" si="323">SUM(U320)</f>
        <v>0</v>
      </c>
      <c r="V319" s="73">
        <f t="shared" si="323"/>
        <v>0</v>
      </c>
      <c r="W319" s="73">
        <f t="shared" si="323"/>
        <v>0</v>
      </c>
      <c r="X319" s="73">
        <f t="shared" si="323"/>
        <v>0</v>
      </c>
      <c r="Y319" s="73">
        <f t="shared" si="323"/>
        <v>0</v>
      </c>
      <c r="Z319" s="73">
        <f t="shared" si="323"/>
        <v>0</v>
      </c>
      <c r="AA319" s="80">
        <f t="shared" si="323"/>
        <v>0</v>
      </c>
      <c r="AB319" s="81" t="s">
        <v>245</v>
      </c>
    </row>
    <row r="320" ht="26.25" customHeight="1" spans="1:28">
      <c r="A320" s="67">
        <f>320-6</f>
        <v>314</v>
      </c>
      <c r="B320" s="68"/>
      <c r="C320" s="68"/>
      <c r="D320" s="68"/>
      <c r="E320" s="68"/>
      <c r="F320" s="68"/>
      <c r="G320" s="68" t="s">
        <v>528</v>
      </c>
      <c r="H320" s="68"/>
      <c r="I320" s="73">
        <f t="shared" si="267"/>
        <v>20</v>
      </c>
      <c r="J320" s="73">
        <f t="shared" ref="J320:M320" si="324">SUM(J321)</f>
        <v>0</v>
      </c>
      <c r="K320" s="73">
        <f t="shared" si="324"/>
        <v>0</v>
      </c>
      <c r="L320" s="73">
        <f t="shared" si="324"/>
        <v>0</v>
      </c>
      <c r="M320" s="73">
        <f t="shared" si="324"/>
        <v>20</v>
      </c>
      <c r="N320" s="73">
        <f t="shared" si="268"/>
        <v>20</v>
      </c>
      <c r="O320" s="73">
        <f t="shared" ref="O320:S320" si="325">SUM(O321)</f>
        <v>20</v>
      </c>
      <c r="P320" s="73">
        <f t="shared" si="325"/>
        <v>0</v>
      </c>
      <c r="Q320" s="73">
        <f t="shared" si="325"/>
        <v>0</v>
      </c>
      <c r="R320" s="73">
        <f t="shared" si="325"/>
        <v>0</v>
      </c>
      <c r="S320" s="73">
        <f t="shared" si="325"/>
        <v>0</v>
      </c>
      <c r="T320" s="73">
        <f t="shared" si="269"/>
        <v>0</v>
      </c>
      <c r="U320" s="73">
        <f t="shared" ref="U320:AA320" si="326">SUM(U321)</f>
        <v>0</v>
      </c>
      <c r="V320" s="73">
        <f t="shared" si="326"/>
        <v>0</v>
      </c>
      <c r="W320" s="73">
        <f t="shared" si="326"/>
        <v>0</v>
      </c>
      <c r="X320" s="73">
        <f t="shared" si="326"/>
        <v>0</v>
      </c>
      <c r="Y320" s="73">
        <f t="shared" si="326"/>
        <v>0</v>
      </c>
      <c r="Z320" s="73">
        <f t="shared" si="326"/>
        <v>0</v>
      </c>
      <c r="AA320" s="80">
        <f t="shared" si="326"/>
        <v>0</v>
      </c>
      <c r="AB320" s="73"/>
    </row>
    <row r="321" ht="26.25" customHeight="1" spans="1:28">
      <c r="A321" s="67">
        <f>321-6</f>
        <v>315</v>
      </c>
      <c r="B321" s="68"/>
      <c r="C321" s="68"/>
      <c r="D321" s="68"/>
      <c r="E321" s="68"/>
      <c r="F321" s="68"/>
      <c r="G321" s="68"/>
      <c r="H321" s="68" t="s">
        <v>528</v>
      </c>
      <c r="I321" s="73">
        <f t="shared" si="267"/>
        <v>20</v>
      </c>
      <c r="J321" s="73"/>
      <c r="K321" s="73"/>
      <c r="L321" s="73"/>
      <c r="M321" s="73">
        <v>20</v>
      </c>
      <c r="N321" s="73">
        <f t="shared" si="268"/>
        <v>20</v>
      </c>
      <c r="O321" s="73">
        <v>20</v>
      </c>
      <c r="P321" s="73"/>
      <c r="Q321" s="73"/>
      <c r="R321" s="73"/>
      <c r="S321" s="73"/>
      <c r="T321" s="73">
        <f t="shared" si="269"/>
        <v>0</v>
      </c>
      <c r="U321" s="73"/>
      <c r="V321" s="73"/>
      <c r="W321" s="73"/>
      <c r="X321" s="73"/>
      <c r="Y321" s="73"/>
      <c r="Z321" s="73"/>
      <c r="AA321" s="80"/>
      <c r="AB321" s="73"/>
    </row>
    <row r="322" ht="26.25" customHeight="1" spans="1:28">
      <c r="A322" s="67">
        <f>322-6</f>
        <v>316</v>
      </c>
      <c r="B322" s="68"/>
      <c r="C322" s="68" t="s">
        <v>142</v>
      </c>
      <c r="D322" s="68"/>
      <c r="E322" s="68"/>
      <c r="F322" s="68"/>
      <c r="G322" s="68"/>
      <c r="H322" s="68"/>
      <c r="I322" s="73">
        <f t="shared" si="267"/>
        <v>253</v>
      </c>
      <c r="J322" s="73">
        <f t="shared" ref="J322:M322" si="327">SUM(J323)</f>
        <v>0</v>
      </c>
      <c r="K322" s="73">
        <f t="shared" si="327"/>
        <v>0</v>
      </c>
      <c r="L322" s="73">
        <f t="shared" si="327"/>
        <v>253</v>
      </c>
      <c r="M322" s="73">
        <f t="shared" si="327"/>
        <v>0</v>
      </c>
      <c r="N322" s="73">
        <f t="shared" si="268"/>
        <v>253</v>
      </c>
      <c r="O322" s="73">
        <f t="shared" ref="O322:S322" si="328">SUM(O323)</f>
        <v>253</v>
      </c>
      <c r="P322" s="73">
        <f t="shared" si="328"/>
        <v>0</v>
      </c>
      <c r="Q322" s="73">
        <f t="shared" si="328"/>
        <v>0</v>
      </c>
      <c r="R322" s="73">
        <f t="shared" si="328"/>
        <v>0</v>
      </c>
      <c r="S322" s="73">
        <f t="shared" si="328"/>
        <v>0</v>
      </c>
      <c r="T322" s="73">
        <f t="shared" si="269"/>
        <v>0</v>
      </c>
      <c r="U322" s="73">
        <f t="shared" ref="U322:AA322" si="329">SUM(U323)</f>
        <v>0</v>
      </c>
      <c r="V322" s="73">
        <f t="shared" si="329"/>
        <v>0</v>
      </c>
      <c r="W322" s="73">
        <f t="shared" si="329"/>
        <v>0</v>
      </c>
      <c r="X322" s="73">
        <f t="shared" si="329"/>
        <v>0</v>
      </c>
      <c r="Y322" s="73">
        <f t="shared" si="329"/>
        <v>0</v>
      </c>
      <c r="Z322" s="73">
        <f t="shared" si="329"/>
        <v>0</v>
      </c>
      <c r="AA322" s="80">
        <f t="shared" si="329"/>
        <v>0</v>
      </c>
      <c r="AB322" s="73"/>
    </row>
    <row r="323" ht="26.25" customHeight="1" spans="1:28">
      <c r="A323" s="67">
        <f>323-6</f>
        <v>317</v>
      </c>
      <c r="B323" s="68"/>
      <c r="C323" s="68"/>
      <c r="D323" s="68" t="s">
        <v>529</v>
      </c>
      <c r="E323" s="68"/>
      <c r="F323" s="68"/>
      <c r="G323" s="68"/>
      <c r="H323" s="68"/>
      <c r="I323" s="73">
        <f t="shared" si="267"/>
        <v>253</v>
      </c>
      <c r="J323" s="73">
        <f t="shared" ref="J323:M323" si="330">SUM(J324)</f>
        <v>0</v>
      </c>
      <c r="K323" s="73">
        <f t="shared" si="330"/>
        <v>0</v>
      </c>
      <c r="L323" s="73">
        <f t="shared" si="330"/>
        <v>253</v>
      </c>
      <c r="M323" s="73">
        <f t="shared" si="330"/>
        <v>0</v>
      </c>
      <c r="N323" s="73">
        <f t="shared" si="268"/>
        <v>253</v>
      </c>
      <c r="O323" s="73">
        <f t="shared" ref="O323:S323" si="331">SUM(O324)</f>
        <v>253</v>
      </c>
      <c r="P323" s="73">
        <f t="shared" si="331"/>
        <v>0</v>
      </c>
      <c r="Q323" s="73">
        <f t="shared" si="331"/>
        <v>0</v>
      </c>
      <c r="R323" s="73">
        <f t="shared" si="331"/>
        <v>0</v>
      </c>
      <c r="S323" s="73">
        <f t="shared" si="331"/>
        <v>0</v>
      </c>
      <c r="T323" s="73">
        <f t="shared" si="269"/>
        <v>0</v>
      </c>
      <c r="U323" s="73">
        <f t="shared" ref="U323:AA323" si="332">SUM(U324)</f>
        <v>0</v>
      </c>
      <c r="V323" s="73">
        <f t="shared" si="332"/>
        <v>0</v>
      </c>
      <c r="W323" s="73">
        <f t="shared" si="332"/>
        <v>0</v>
      </c>
      <c r="X323" s="73">
        <f t="shared" si="332"/>
        <v>0</v>
      </c>
      <c r="Y323" s="73">
        <f t="shared" si="332"/>
        <v>0</v>
      </c>
      <c r="Z323" s="73">
        <f t="shared" si="332"/>
        <v>0</v>
      </c>
      <c r="AA323" s="80">
        <f t="shared" si="332"/>
        <v>0</v>
      </c>
      <c r="AB323" s="73"/>
    </row>
    <row r="324" ht="26.25" customHeight="1" spans="1:28">
      <c r="A324" s="67">
        <f>324-6</f>
        <v>318</v>
      </c>
      <c r="B324" s="68"/>
      <c r="C324" s="68"/>
      <c r="D324" s="68"/>
      <c r="E324" s="68" t="s">
        <v>76</v>
      </c>
      <c r="F324" s="68"/>
      <c r="G324" s="68"/>
      <c r="H324" s="68"/>
      <c r="I324" s="73">
        <f t="shared" si="267"/>
        <v>253</v>
      </c>
      <c r="J324" s="73">
        <f t="shared" ref="J324:M324" si="333">SUM(J325)</f>
        <v>0</v>
      </c>
      <c r="K324" s="73">
        <f t="shared" si="333"/>
        <v>0</v>
      </c>
      <c r="L324" s="73">
        <f t="shared" si="333"/>
        <v>253</v>
      </c>
      <c r="M324" s="73">
        <f t="shared" si="333"/>
        <v>0</v>
      </c>
      <c r="N324" s="73">
        <f t="shared" si="268"/>
        <v>253</v>
      </c>
      <c r="O324" s="73">
        <f t="shared" ref="O324:S324" si="334">SUM(O325)</f>
        <v>253</v>
      </c>
      <c r="P324" s="73">
        <f t="shared" si="334"/>
        <v>0</v>
      </c>
      <c r="Q324" s="73">
        <f t="shared" si="334"/>
        <v>0</v>
      </c>
      <c r="R324" s="73">
        <f t="shared" si="334"/>
        <v>0</v>
      </c>
      <c r="S324" s="73">
        <f t="shared" si="334"/>
        <v>0</v>
      </c>
      <c r="T324" s="73">
        <f t="shared" si="269"/>
        <v>0</v>
      </c>
      <c r="U324" s="73">
        <f t="shared" ref="U324:AA324" si="335">SUM(U325)</f>
        <v>0</v>
      </c>
      <c r="V324" s="73">
        <f t="shared" si="335"/>
        <v>0</v>
      </c>
      <c r="W324" s="73">
        <f t="shared" si="335"/>
        <v>0</v>
      </c>
      <c r="X324" s="73">
        <f t="shared" si="335"/>
        <v>0</v>
      </c>
      <c r="Y324" s="73">
        <f t="shared" si="335"/>
        <v>0</v>
      </c>
      <c r="Z324" s="73">
        <f t="shared" si="335"/>
        <v>0</v>
      </c>
      <c r="AA324" s="80">
        <f t="shared" si="335"/>
        <v>0</v>
      </c>
      <c r="AB324" s="73"/>
    </row>
    <row r="325" ht="26.25" customHeight="1" spans="1:28">
      <c r="A325" s="67">
        <f>325-6</f>
        <v>319</v>
      </c>
      <c r="B325" s="68"/>
      <c r="C325" s="68"/>
      <c r="D325" s="68"/>
      <c r="E325" s="68"/>
      <c r="F325" s="68" t="s">
        <v>530</v>
      </c>
      <c r="G325" s="68"/>
      <c r="H325" s="68"/>
      <c r="I325" s="73">
        <f t="shared" si="267"/>
        <v>253</v>
      </c>
      <c r="J325" s="73">
        <f t="shared" ref="J325:M325" si="336">SUM(J326,J329,J332)</f>
        <v>0</v>
      </c>
      <c r="K325" s="73">
        <f t="shared" si="336"/>
        <v>0</v>
      </c>
      <c r="L325" s="73">
        <f t="shared" si="336"/>
        <v>253</v>
      </c>
      <c r="M325" s="73">
        <f t="shared" si="336"/>
        <v>0</v>
      </c>
      <c r="N325" s="73">
        <f t="shared" si="268"/>
        <v>253</v>
      </c>
      <c r="O325" s="73">
        <f t="shared" ref="O325:S325" si="337">SUM(O326,O329,O332)</f>
        <v>253</v>
      </c>
      <c r="P325" s="73">
        <f t="shared" si="337"/>
        <v>0</v>
      </c>
      <c r="Q325" s="73">
        <f t="shared" si="337"/>
        <v>0</v>
      </c>
      <c r="R325" s="73">
        <f t="shared" si="337"/>
        <v>0</v>
      </c>
      <c r="S325" s="73">
        <f t="shared" si="337"/>
        <v>0</v>
      </c>
      <c r="T325" s="73">
        <f t="shared" si="269"/>
        <v>0</v>
      </c>
      <c r="U325" s="73">
        <f t="shared" ref="U325:AA325" si="338">SUM(U326,U329,U332)</f>
        <v>0</v>
      </c>
      <c r="V325" s="73">
        <f t="shared" si="338"/>
        <v>0</v>
      </c>
      <c r="W325" s="73">
        <f t="shared" si="338"/>
        <v>0</v>
      </c>
      <c r="X325" s="73">
        <f t="shared" si="338"/>
        <v>0</v>
      </c>
      <c r="Y325" s="73">
        <f t="shared" si="338"/>
        <v>0</v>
      </c>
      <c r="Z325" s="73">
        <f t="shared" si="338"/>
        <v>0</v>
      </c>
      <c r="AA325" s="80">
        <f t="shared" si="338"/>
        <v>0</v>
      </c>
      <c r="AB325" s="81" t="s">
        <v>245</v>
      </c>
    </row>
    <row r="326" ht="26.25" customHeight="1" spans="1:28">
      <c r="A326" s="67">
        <f>326-6</f>
        <v>320</v>
      </c>
      <c r="B326" s="68"/>
      <c r="C326" s="68"/>
      <c r="D326" s="68"/>
      <c r="E326" s="68"/>
      <c r="F326" s="68"/>
      <c r="G326" s="68" t="s">
        <v>531</v>
      </c>
      <c r="H326" s="68"/>
      <c r="I326" s="73">
        <f t="shared" ref="I326:I345" si="339">J326+K326+L326+M326</f>
        <v>46.5</v>
      </c>
      <c r="J326" s="73">
        <f t="shared" ref="J326:M326" si="340">SUM(J327:J328)</f>
        <v>0</v>
      </c>
      <c r="K326" s="73">
        <f t="shared" si="340"/>
        <v>0</v>
      </c>
      <c r="L326" s="73">
        <f t="shared" si="340"/>
        <v>46.5</v>
      </c>
      <c r="M326" s="73">
        <f t="shared" si="340"/>
        <v>0</v>
      </c>
      <c r="N326" s="73">
        <f t="shared" ref="N326:N345" si="341">O326+P326+Q326</f>
        <v>46.5</v>
      </c>
      <c r="O326" s="73">
        <f t="shared" ref="O326:S326" si="342">SUM(O327:O328)</f>
        <v>46.5</v>
      </c>
      <c r="P326" s="73">
        <f t="shared" si="342"/>
        <v>0</v>
      </c>
      <c r="Q326" s="73">
        <f t="shared" si="342"/>
        <v>0</v>
      </c>
      <c r="R326" s="73">
        <f t="shared" si="342"/>
        <v>0</v>
      </c>
      <c r="S326" s="73">
        <f t="shared" si="342"/>
        <v>0</v>
      </c>
      <c r="T326" s="73">
        <f t="shared" ref="T326:T345" si="343">U326+V326+W326+X326+Y326</f>
        <v>0</v>
      </c>
      <c r="U326" s="73">
        <f t="shared" ref="U326:AA326" si="344">SUM(U327:U328)</f>
        <v>0</v>
      </c>
      <c r="V326" s="73">
        <f t="shared" si="344"/>
        <v>0</v>
      </c>
      <c r="W326" s="73">
        <f t="shared" si="344"/>
        <v>0</v>
      </c>
      <c r="X326" s="73">
        <f t="shared" si="344"/>
        <v>0</v>
      </c>
      <c r="Y326" s="73">
        <f t="shared" si="344"/>
        <v>0</v>
      </c>
      <c r="Z326" s="73">
        <f t="shared" si="344"/>
        <v>0</v>
      </c>
      <c r="AA326" s="80">
        <f t="shared" si="344"/>
        <v>0</v>
      </c>
      <c r="AB326" s="73"/>
    </row>
    <row r="327" ht="26.25" customHeight="1" spans="1:28">
      <c r="A327" s="67">
        <f>327-6</f>
        <v>321</v>
      </c>
      <c r="B327" s="68"/>
      <c r="C327" s="68"/>
      <c r="D327" s="68"/>
      <c r="E327" s="68"/>
      <c r="F327" s="68"/>
      <c r="G327" s="68"/>
      <c r="H327" s="68" t="s">
        <v>532</v>
      </c>
      <c r="I327" s="73">
        <f t="shared" si="339"/>
        <v>20</v>
      </c>
      <c r="J327" s="73"/>
      <c r="K327" s="73"/>
      <c r="L327" s="73">
        <v>20</v>
      </c>
      <c r="M327" s="73"/>
      <c r="N327" s="73">
        <f t="shared" si="341"/>
        <v>20</v>
      </c>
      <c r="O327" s="73">
        <v>20</v>
      </c>
      <c r="P327" s="73"/>
      <c r="Q327" s="73"/>
      <c r="R327" s="73"/>
      <c r="S327" s="73"/>
      <c r="T327" s="73">
        <f t="shared" si="343"/>
        <v>0</v>
      </c>
      <c r="U327" s="73"/>
      <c r="V327" s="73"/>
      <c r="W327" s="73"/>
      <c r="X327" s="73"/>
      <c r="Y327" s="73"/>
      <c r="Z327" s="73"/>
      <c r="AA327" s="80"/>
      <c r="AB327" s="73"/>
    </row>
    <row r="328" ht="26.25" customHeight="1" spans="1:28">
      <c r="A328" s="67">
        <f>328-6</f>
        <v>322</v>
      </c>
      <c r="B328" s="68"/>
      <c r="C328" s="68"/>
      <c r="D328" s="68"/>
      <c r="E328" s="68"/>
      <c r="F328" s="68"/>
      <c r="G328" s="68"/>
      <c r="H328" s="68" t="s">
        <v>533</v>
      </c>
      <c r="I328" s="73">
        <f t="shared" si="339"/>
        <v>26.5</v>
      </c>
      <c r="J328" s="73"/>
      <c r="K328" s="73"/>
      <c r="L328" s="73">
        <v>26.5</v>
      </c>
      <c r="M328" s="73"/>
      <c r="N328" s="73">
        <f t="shared" si="341"/>
        <v>26.5</v>
      </c>
      <c r="O328" s="73">
        <v>26.5</v>
      </c>
      <c r="P328" s="73"/>
      <c r="Q328" s="73"/>
      <c r="R328" s="73"/>
      <c r="S328" s="73"/>
      <c r="T328" s="73">
        <f t="shared" si="343"/>
        <v>0</v>
      </c>
      <c r="U328" s="73"/>
      <c r="V328" s="73"/>
      <c r="W328" s="73"/>
      <c r="X328" s="73"/>
      <c r="Y328" s="73"/>
      <c r="Z328" s="73"/>
      <c r="AA328" s="80"/>
      <c r="AB328" s="73"/>
    </row>
    <row r="329" ht="26.25" customHeight="1" spans="1:28">
      <c r="A329" s="67">
        <f>329-6</f>
        <v>323</v>
      </c>
      <c r="B329" s="68"/>
      <c r="C329" s="68"/>
      <c r="D329" s="68"/>
      <c r="E329" s="68"/>
      <c r="F329" s="68"/>
      <c r="G329" s="68" t="s">
        <v>534</v>
      </c>
      <c r="H329" s="68"/>
      <c r="I329" s="73">
        <f t="shared" si="339"/>
        <v>150</v>
      </c>
      <c r="J329" s="73">
        <f t="shared" ref="J329:M329" si="345">SUM(J330:J331)</f>
        <v>0</v>
      </c>
      <c r="K329" s="73">
        <f t="shared" si="345"/>
        <v>0</v>
      </c>
      <c r="L329" s="73">
        <f t="shared" si="345"/>
        <v>150</v>
      </c>
      <c r="M329" s="73">
        <f t="shared" si="345"/>
        <v>0</v>
      </c>
      <c r="N329" s="73">
        <f t="shared" si="341"/>
        <v>150</v>
      </c>
      <c r="O329" s="73">
        <f t="shared" ref="O329:S329" si="346">SUM(O330:O331)</f>
        <v>150</v>
      </c>
      <c r="P329" s="73">
        <f t="shared" si="346"/>
        <v>0</v>
      </c>
      <c r="Q329" s="73">
        <f t="shared" si="346"/>
        <v>0</v>
      </c>
      <c r="R329" s="73">
        <f t="shared" si="346"/>
        <v>0</v>
      </c>
      <c r="S329" s="73">
        <f t="shared" si="346"/>
        <v>0</v>
      </c>
      <c r="T329" s="73">
        <f t="shared" si="343"/>
        <v>0</v>
      </c>
      <c r="U329" s="73">
        <f t="shared" ref="U329:AA329" si="347">SUM(U330:U331)</f>
        <v>0</v>
      </c>
      <c r="V329" s="73">
        <f t="shared" si="347"/>
        <v>0</v>
      </c>
      <c r="W329" s="73">
        <f t="shared" si="347"/>
        <v>0</v>
      </c>
      <c r="X329" s="73">
        <f t="shared" si="347"/>
        <v>0</v>
      </c>
      <c r="Y329" s="73">
        <f t="shared" si="347"/>
        <v>0</v>
      </c>
      <c r="Z329" s="73">
        <f t="shared" si="347"/>
        <v>0</v>
      </c>
      <c r="AA329" s="80">
        <f t="shared" si="347"/>
        <v>0</v>
      </c>
      <c r="AB329" s="73"/>
    </row>
    <row r="330" ht="26.25" customHeight="1" spans="1:28">
      <c r="A330" s="67">
        <f>330-6</f>
        <v>324</v>
      </c>
      <c r="B330" s="68"/>
      <c r="C330" s="68"/>
      <c r="D330" s="68"/>
      <c r="E330" s="68"/>
      <c r="F330" s="68"/>
      <c r="G330" s="68"/>
      <c r="H330" s="68" t="s">
        <v>535</v>
      </c>
      <c r="I330" s="73">
        <f t="shared" si="339"/>
        <v>52</v>
      </c>
      <c r="J330" s="73"/>
      <c r="K330" s="73"/>
      <c r="L330" s="73">
        <v>52</v>
      </c>
      <c r="M330" s="73"/>
      <c r="N330" s="73">
        <f t="shared" si="341"/>
        <v>52</v>
      </c>
      <c r="O330" s="73">
        <v>52</v>
      </c>
      <c r="P330" s="73"/>
      <c r="Q330" s="73"/>
      <c r="R330" s="73"/>
      <c r="S330" s="73"/>
      <c r="T330" s="73">
        <f t="shared" si="343"/>
        <v>0</v>
      </c>
      <c r="U330" s="73"/>
      <c r="V330" s="73"/>
      <c r="W330" s="73"/>
      <c r="X330" s="73"/>
      <c r="Y330" s="73"/>
      <c r="Z330" s="73"/>
      <c r="AA330" s="80"/>
      <c r="AB330" s="73"/>
    </row>
    <row r="331" s="57" customFormat="1" ht="26.25" customHeight="1" spans="1:28">
      <c r="A331" s="67">
        <f>331-6</f>
        <v>325</v>
      </c>
      <c r="B331" s="68"/>
      <c r="C331" s="68"/>
      <c r="D331" s="68"/>
      <c r="E331" s="68"/>
      <c r="F331" s="68"/>
      <c r="G331" s="68"/>
      <c r="H331" s="68" t="s">
        <v>536</v>
      </c>
      <c r="I331" s="73">
        <f t="shared" si="339"/>
        <v>98</v>
      </c>
      <c r="J331" s="73"/>
      <c r="K331" s="73"/>
      <c r="L331" s="73">
        <v>98</v>
      </c>
      <c r="M331" s="73"/>
      <c r="N331" s="73">
        <f t="shared" si="341"/>
        <v>98</v>
      </c>
      <c r="O331" s="73">
        <v>98</v>
      </c>
      <c r="P331" s="73"/>
      <c r="Q331" s="73"/>
      <c r="R331" s="73"/>
      <c r="S331" s="73"/>
      <c r="T331" s="73">
        <f t="shared" si="343"/>
        <v>0</v>
      </c>
      <c r="U331" s="73"/>
      <c r="V331" s="73"/>
      <c r="W331" s="73"/>
      <c r="X331" s="73"/>
      <c r="Y331" s="73"/>
      <c r="Z331" s="73"/>
      <c r="AA331" s="80"/>
      <c r="AB331" s="73"/>
    </row>
    <row r="332" s="57" customFormat="1" ht="26.25" customHeight="1" spans="1:28">
      <c r="A332" s="67">
        <f>332-6</f>
        <v>326</v>
      </c>
      <c r="B332" s="68"/>
      <c r="C332" s="68"/>
      <c r="D332" s="68"/>
      <c r="E332" s="68"/>
      <c r="F332" s="68"/>
      <c r="G332" s="68" t="s">
        <v>537</v>
      </c>
      <c r="H332" s="68"/>
      <c r="I332" s="73">
        <f t="shared" si="339"/>
        <v>56.5</v>
      </c>
      <c r="J332" s="73">
        <f t="shared" ref="J332:M332" si="348">SUM(J333)</f>
        <v>0</v>
      </c>
      <c r="K332" s="73">
        <f t="shared" si="348"/>
        <v>0</v>
      </c>
      <c r="L332" s="73">
        <f t="shared" si="348"/>
        <v>56.5</v>
      </c>
      <c r="M332" s="73">
        <f t="shared" si="348"/>
        <v>0</v>
      </c>
      <c r="N332" s="73">
        <f t="shared" si="341"/>
        <v>56.5</v>
      </c>
      <c r="O332" s="73">
        <f t="shared" ref="O332:S332" si="349">SUM(O333)</f>
        <v>56.5</v>
      </c>
      <c r="P332" s="73">
        <f t="shared" si="349"/>
        <v>0</v>
      </c>
      <c r="Q332" s="73">
        <f t="shared" si="349"/>
        <v>0</v>
      </c>
      <c r="R332" s="73">
        <f t="shared" si="349"/>
        <v>0</v>
      </c>
      <c r="S332" s="73">
        <f t="shared" si="349"/>
        <v>0</v>
      </c>
      <c r="T332" s="73">
        <f t="shared" si="343"/>
        <v>0</v>
      </c>
      <c r="U332" s="73">
        <f t="shared" ref="U332:AA332" si="350">SUM(U333)</f>
        <v>0</v>
      </c>
      <c r="V332" s="73">
        <f t="shared" si="350"/>
        <v>0</v>
      </c>
      <c r="W332" s="73">
        <f t="shared" si="350"/>
        <v>0</v>
      </c>
      <c r="X332" s="73">
        <f t="shared" si="350"/>
        <v>0</v>
      </c>
      <c r="Y332" s="73">
        <f t="shared" si="350"/>
        <v>0</v>
      </c>
      <c r="Z332" s="73">
        <f t="shared" si="350"/>
        <v>0</v>
      </c>
      <c r="AA332" s="80">
        <f t="shared" si="350"/>
        <v>0</v>
      </c>
      <c r="AB332" s="73"/>
    </row>
    <row r="333" s="57" customFormat="1" ht="26.25" customHeight="1" spans="1:28">
      <c r="A333" s="67">
        <f>333-6</f>
        <v>327</v>
      </c>
      <c r="B333" s="68"/>
      <c r="C333" s="68"/>
      <c r="D333" s="68"/>
      <c r="E333" s="68"/>
      <c r="F333" s="68"/>
      <c r="G333" s="68"/>
      <c r="H333" s="68" t="s">
        <v>538</v>
      </c>
      <c r="I333" s="73">
        <f t="shared" si="339"/>
        <v>56.5</v>
      </c>
      <c r="J333" s="73"/>
      <c r="K333" s="73"/>
      <c r="L333" s="73">
        <v>56.5</v>
      </c>
      <c r="M333" s="73"/>
      <c r="N333" s="73">
        <f t="shared" si="341"/>
        <v>56.5</v>
      </c>
      <c r="O333" s="73">
        <v>56.5</v>
      </c>
      <c r="P333" s="73"/>
      <c r="Q333" s="73"/>
      <c r="R333" s="73"/>
      <c r="S333" s="73"/>
      <c r="T333" s="73">
        <f t="shared" si="343"/>
        <v>0</v>
      </c>
      <c r="U333" s="73"/>
      <c r="V333" s="73"/>
      <c r="W333" s="73"/>
      <c r="X333" s="73"/>
      <c r="Y333" s="73"/>
      <c r="Z333" s="73"/>
      <c r="AA333" s="80"/>
      <c r="AB333" s="73"/>
    </row>
    <row r="334" s="57" customFormat="1" ht="26.25" customHeight="1" spans="1:28">
      <c r="A334" s="67">
        <f>334-6</f>
        <v>328</v>
      </c>
      <c r="B334" s="68"/>
      <c r="C334" s="68" t="s">
        <v>146</v>
      </c>
      <c r="D334" s="68"/>
      <c r="E334" s="68"/>
      <c r="F334" s="68"/>
      <c r="G334" s="68"/>
      <c r="H334" s="68"/>
      <c r="I334" s="73">
        <f t="shared" si="339"/>
        <v>126.66</v>
      </c>
      <c r="J334" s="73">
        <f t="shared" ref="J334:M334" si="351">SUM(J335)</f>
        <v>0</v>
      </c>
      <c r="K334" s="73">
        <f t="shared" si="351"/>
        <v>0</v>
      </c>
      <c r="L334" s="73">
        <f t="shared" si="351"/>
        <v>126.66</v>
      </c>
      <c r="M334" s="73">
        <f t="shared" si="351"/>
        <v>0</v>
      </c>
      <c r="N334" s="73">
        <f t="shared" si="341"/>
        <v>126.66</v>
      </c>
      <c r="O334" s="73">
        <f t="shared" ref="O334:S334" si="352">SUM(O335)</f>
        <v>126.66</v>
      </c>
      <c r="P334" s="73">
        <f t="shared" si="352"/>
        <v>0</v>
      </c>
      <c r="Q334" s="73">
        <f t="shared" si="352"/>
        <v>0</v>
      </c>
      <c r="R334" s="73">
        <f t="shared" si="352"/>
        <v>0</v>
      </c>
      <c r="S334" s="73">
        <f t="shared" si="352"/>
        <v>0</v>
      </c>
      <c r="T334" s="73">
        <f t="shared" si="343"/>
        <v>0</v>
      </c>
      <c r="U334" s="73">
        <f t="shared" ref="U334:AA334" si="353">SUM(U335)</f>
        <v>0</v>
      </c>
      <c r="V334" s="73">
        <f t="shared" si="353"/>
        <v>0</v>
      </c>
      <c r="W334" s="73">
        <f t="shared" si="353"/>
        <v>0</v>
      </c>
      <c r="X334" s="73">
        <f t="shared" si="353"/>
        <v>0</v>
      </c>
      <c r="Y334" s="73">
        <f t="shared" si="353"/>
        <v>0</v>
      </c>
      <c r="Z334" s="73">
        <f t="shared" si="353"/>
        <v>0</v>
      </c>
      <c r="AA334" s="80">
        <f t="shared" si="353"/>
        <v>5.6</v>
      </c>
      <c r="AB334" s="73"/>
    </row>
    <row r="335" s="57" customFormat="1" ht="26.25" customHeight="1" spans="1:28">
      <c r="A335" s="67">
        <f>335-6</f>
        <v>329</v>
      </c>
      <c r="B335" s="68"/>
      <c r="C335" s="68"/>
      <c r="D335" s="68" t="s">
        <v>539</v>
      </c>
      <c r="E335" s="68"/>
      <c r="F335" s="68"/>
      <c r="G335" s="68"/>
      <c r="H335" s="68"/>
      <c r="I335" s="73">
        <f t="shared" si="339"/>
        <v>126.66</v>
      </c>
      <c r="J335" s="73">
        <f t="shared" ref="J335:M335" si="354">SUM(J336)</f>
        <v>0</v>
      </c>
      <c r="K335" s="73">
        <f t="shared" si="354"/>
        <v>0</v>
      </c>
      <c r="L335" s="73">
        <f t="shared" si="354"/>
        <v>126.66</v>
      </c>
      <c r="M335" s="73">
        <f t="shared" si="354"/>
        <v>0</v>
      </c>
      <c r="N335" s="73">
        <f t="shared" si="341"/>
        <v>126.66</v>
      </c>
      <c r="O335" s="73">
        <f t="shared" ref="O335:S335" si="355">SUM(O336)</f>
        <v>126.66</v>
      </c>
      <c r="P335" s="73">
        <f t="shared" si="355"/>
        <v>0</v>
      </c>
      <c r="Q335" s="73">
        <f t="shared" si="355"/>
        <v>0</v>
      </c>
      <c r="R335" s="73">
        <f t="shared" si="355"/>
        <v>0</v>
      </c>
      <c r="S335" s="73">
        <f t="shared" si="355"/>
        <v>0</v>
      </c>
      <c r="T335" s="73">
        <f t="shared" si="343"/>
        <v>0</v>
      </c>
      <c r="U335" s="73">
        <f t="shared" ref="U335:AA335" si="356">SUM(U336)</f>
        <v>0</v>
      </c>
      <c r="V335" s="73">
        <f t="shared" si="356"/>
        <v>0</v>
      </c>
      <c r="W335" s="73">
        <f t="shared" si="356"/>
        <v>0</v>
      </c>
      <c r="X335" s="73">
        <f t="shared" si="356"/>
        <v>0</v>
      </c>
      <c r="Y335" s="73">
        <f t="shared" si="356"/>
        <v>0</v>
      </c>
      <c r="Z335" s="73">
        <f t="shared" si="356"/>
        <v>0</v>
      </c>
      <c r="AA335" s="80">
        <f t="shared" si="356"/>
        <v>5.6</v>
      </c>
      <c r="AB335" s="73"/>
    </row>
    <row r="336" s="57" customFormat="1" ht="26.25" customHeight="1" spans="1:28">
      <c r="A336" s="67">
        <f>336-6</f>
        <v>330</v>
      </c>
      <c r="B336" s="68"/>
      <c r="C336" s="68"/>
      <c r="D336" s="68"/>
      <c r="E336" s="68" t="s">
        <v>79</v>
      </c>
      <c r="F336" s="68"/>
      <c r="G336" s="68"/>
      <c r="H336" s="68"/>
      <c r="I336" s="73">
        <f t="shared" si="339"/>
        <v>126.66</v>
      </c>
      <c r="J336" s="73">
        <f t="shared" ref="J336:M336" si="357">SUM(J337)</f>
        <v>0</v>
      </c>
      <c r="K336" s="73">
        <f t="shared" si="357"/>
        <v>0</v>
      </c>
      <c r="L336" s="73">
        <f t="shared" si="357"/>
        <v>126.66</v>
      </c>
      <c r="M336" s="73">
        <f t="shared" si="357"/>
        <v>0</v>
      </c>
      <c r="N336" s="73">
        <f t="shared" si="341"/>
        <v>126.66</v>
      </c>
      <c r="O336" s="73">
        <f t="shared" ref="O336:S336" si="358">SUM(O337)</f>
        <v>126.66</v>
      </c>
      <c r="P336" s="73">
        <f t="shared" si="358"/>
        <v>0</v>
      </c>
      <c r="Q336" s="73">
        <f t="shared" si="358"/>
        <v>0</v>
      </c>
      <c r="R336" s="73">
        <f t="shared" si="358"/>
        <v>0</v>
      </c>
      <c r="S336" s="73">
        <f t="shared" si="358"/>
        <v>0</v>
      </c>
      <c r="T336" s="73">
        <f t="shared" si="343"/>
        <v>0</v>
      </c>
      <c r="U336" s="73">
        <f t="shared" ref="U336:AA336" si="359">SUM(U337)</f>
        <v>0</v>
      </c>
      <c r="V336" s="73">
        <f t="shared" si="359"/>
        <v>0</v>
      </c>
      <c r="W336" s="73">
        <f t="shared" si="359"/>
        <v>0</v>
      </c>
      <c r="X336" s="73">
        <f t="shared" si="359"/>
        <v>0</v>
      </c>
      <c r="Y336" s="73">
        <f t="shared" si="359"/>
        <v>0</v>
      </c>
      <c r="Z336" s="73">
        <f t="shared" si="359"/>
        <v>0</v>
      </c>
      <c r="AA336" s="80">
        <f t="shared" si="359"/>
        <v>5.6</v>
      </c>
      <c r="AB336" s="73"/>
    </row>
    <row r="337" s="57" customFormat="1" ht="26.25" customHeight="1" spans="1:28">
      <c r="A337" s="67">
        <f>337-6</f>
        <v>331</v>
      </c>
      <c r="B337" s="68"/>
      <c r="C337" s="68"/>
      <c r="D337" s="68"/>
      <c r="E337" s="68"/>
      <c r="F337" s="68" t="s">
        <v>508</v>
      </c>
      <c r="G337" s="68"/>
      <c r="H337" s="68"/>
      <c r="I337" s="73">
        <f t="shared" si="339"/>
        <v>126.66</v>
      </c>
      <c r="J337" s="73">
        <f t="shared" ref="J337:M337" si="360">SUM(J338)</f>
        <v>0</v>
      </c>
      <c r="K337" s="73">
        <f t="shared" si="360"/>
        <v>0</v>
      </c>
      <c r="L337" s="73">
        <f t="shared" si="360"/>
        <v>126.66</v>
      </c>
      <c r="M337" s="73">
        <f t="shared" si="360"/>
        <v>0</v>
      </c>
      <c r="N337" s="73">
        <f t="shared" si="341"/>
        <v>126.66</v>
      </c>
      <c r="O337" s="73">
        <f t="shared" ref="O337:S337" si="361">SUM(O338)</f>
        <v>126.66</v>
      </c>
      <c r="P337" s="73">
        <f t="shared" si="361"/>
        <v>0</v>
      </c>
      <c r="Q337" s="73">
        <f t="shared" si="361"/>
        <v>0</v>
      </c>
      <c r="R337" s="73">
        <f t="shared" si="361"/>
        <v>0</v>
      </c>
      <c r="S337" s="73">
        <f t="shared" si="361"/>
        <v>0</v>
      </c>
      <c r="T337" s="73">
        <f t="shared" si="343"/>
        <v>0</v>
      </c>
      <c r="U337" s="73">
        <f t="shared" ref="U337:AA337" si="362">SUM(U338)</f>
        <v>0</v>
      </c>
      <c r="V337" s="73">
        <f t="shared" si="362"/>
        <v>0</v>
      </c>
      <c r="W337" s="73">
        <f t="shared" si="362"/>
        <v>0</v>
      </c>
      <c r="X337" s="73">
        <f t="shared" si="362"/>
        <v>0</v>
      </c>
      <c r="Y337" s="73">
        <f t="shared" si="362"/>
        <v>0</v>
      </c>
      <c r="Z337" s="73">
        <f t="shared" si="362"/>
        <v>0</v>
      </c>
      <c r="AA337" s="80">
        <f t="shared" si="362"/>
        <v>5.6</v>
      </c>
      <c r="AB337" s="81" t="s">
        <v>245</v>
      </c>
    </row>
    <row r="338" s="57" customFormat="1" ht="26.25" customHeight="1" spans="1:28">
      <c r="A338" s="67">
        <f>338-6</f>
        <v>332</v>
      </c>
      <c r="B338" s="68"/>
      <c r="C338" s="68"/>
      <c r="D338" s="68"/>
      <c r="E338" s="68"/>
      <c r="F338" s="68"/>
      <c r="G338" s="68" t="s">
        <v>540</v>
      </c>
      <c r="H338" s="68"/>
      <c r="I338" s="73">
        <f t="shared" si="339"/>
        <v>126.66</v>
      </c>
      <c r="J338" s="73">
        <f t="shared" ref="J338:M338" si="363">SUM(J339:J345)</f>
        <v>0</v>
      </c>
      <c r="K338" s="73">
        <f t="shared" si="363"/>
        <v>0</v>
      </c>
      <c r="L338" s="73">
        <f t="shared" si="363"/>
        <v>126.66</v>
      </c>
      <c r="M338" s="73">
        <f t="shared" si="363"/>
        <v>0</v>
      </c>
      <c r="N338" s="73">
        <f t="shared" si="341"/>
        <v>126.66</v>
      </c>
      <c r="O338" s="73">
        <f t="shared" ref="O338:S338" si="364">SUM(O339:O345)</f>
        <v>126.66</v>
      </c>
      <c r="P338" s="73">
        <f t="shared" si="364"/>
        <v>0</v>
      </c>
      <c r="Q338" s="73">
        <f t="shared" si="364"/>
        <v>0</v>
      </c>
      <c r="R338" s="73">
        <f t="shared" si="364"/>
        <v>0</v>
      </c>
      <c r="S338" s="73">
        <f t="shared" si="364"/>
        <v>0</v>
      </c>
      <c r="T338" s="73">
        <f t="shared" si="343"/>
        <v>0</v>
      </c>
      <c r="U338" s="73">
        <f t="shared" ref="U338:AA338" si="365">SUM(U339:U345)</f>
        <v>0</v>
      </c>
      <c r="V338" s="73">
        <f t="shared" si="365"/>
        <v>0</v>
      </c>
      <c r="W338" s="73">
        <f t="shared" si="365"/>
        <v>0</v>
      </c>
      <c r="X338" s="73">
        <f t="shared" si="365"/>
        <v>0</v>
      </c>
      <c r="Y338" s="73">
        <f t="shared" si="365"/>
        <v>0</v>
      </c>
      <c r="Z338" s="73">
        <f t="shared" si="365"/>
        <v>0</v>
      </c>
      <c r="AA338" s="80">
        <f t="shared" si="365"/>
        <v>5.6</v>
      </c>
      <c r="AB338" s="73"/>
    </row>
    <row r="339" s="57" customFormat="1" ht="26.25" customHeight="1" spans="1:28">
      <c r="A339" s="67">
        <f>339-6</f>
        <v>333</v>
      </c>
      <c r="B339" s="68"/>
      <c r="C339" s="68"/>
      <c r="D339" s="68"/>
      <c r="E339" s="68"/>
      <c r="F339" s="68"/>
      <c r="G339" s="68"/>
      <c r="H339" s="68" t="s">
        <v>541</v>
      </c>
      <c r="I339" s="73">
        <f t="shared" si="339"/>
        <v>2</v>
      </c>
      <c r="J339" s="73"/>
      <c r="K339" s="73"/>
      <c r="L339" s="73">
        <v>2</v>
      </c>
      <c r="M339" s="73"/>
      <c r="N339" s="73">
        <f t="shared" si="341"/>
        <v>2</v>
      </c>
      <c r="O339" s="73">
        <v>2</v>
      </c>
      <c r="P339" s="73"/>
      <c r="Q339" s="73"/>
      <c r="R339" s="73"/>
      <c r="S339" s="73"/>
      <c r="T339" s="73">
        <f t="shared" si="343"/>
        <v>0</v>
      </c>
      <c r="U339" s="73"/>
      <c r="V339" s="73"/>
      <c r="W339" s="73"/>
      <c r="X339" s="73"/>
      <c r="Y339" s="73"/>
      <c r="Z339" s="73"/>
      <c r="AA339" s="80">
        <v>2</v>
      </c>
      <c r="AB339" s="73"/>
    </row>
    <row r="340" s="57" customFormat="1" ht="26.25" customHeight="1" spans="1:28">
      <c r="A340" s="67">
        <f>340-6</f>
        <v>334</v>
      </c>
      <c r="B340" s="68"/>
      <c r="C340" s="68"/>
      <c r="D340" s="68"/>
      <c r="E340" s="68"/>
      <c r="F340" s="68"/>
      <c r="G340" s="68"/>
      <c r="H340" s="68" t="s">
        <v>542</v>
      </c>
      <c r="I340" s="73">
        <f t="shared" si="339"/>
        <v>0.8</v>
      </c>
      <c r="J340" s="73"/>
      <c r="K340" s="73"/>
      <c r="L340" s="73">
        <v>0.8</v>
      </c>
      <c r="M340" s="73"/>
      <c r="N340" s="73">
        <f t="shared" si="341"/>
        <v>0.8</v>
      </c>
      <c r="O340" s="73">
        <v>0.8</v>
      </c>
      <c r="P340" s="73"/>
      <c r="Q340" s="73"/>
      <c r="R340" s="73"/>
      <c r="S340" s="73"/>
      <c r="T340" s="73">
        <f t="shared" si="343"/>
        <v>0</v>
      </c>
      <c r="U340" s="73"/>
      <c r="V340" s="73"/>
      <c r="W340" s="73"/>
      <c r="X340" s="73"/>
      <c r="Y340" s="73"/>
      <c r="Z340" s="73"/>
      <c r="AA340" s="80">
        <v>0.8</v>
      </c>
      <c r="AB340" s="73"/>
    </row>
    <row r="341" s="57" customFormat="1" ht="26.25" customHeight="1" spans="1:28">
      <c r="A341" s="67">
        <f>341-6</f>
        <v>335</v>
      </c>
      <c r="B341" s="68"/>
      <c r="C341" s="68"/>
      <c r="D341" s="68"/>
      <c r="E341" s="68"/>
      <c r="F341" s="68"/>
      <c r="G341" s="68"/>
      <c r="H341" s="68" t="s">
        <v>543</v>
      </c>
      <c r="I341" s="73">
        <f t="shared" si="339"/>
        <v>0.8</v>
      </c>
      <c r="J341" s="73"/>
      <c r="K341" s="73"/>
      <c r="L341" s="73">
        <v>0.8</v>
      </c>
      <c r="M341" s="73"/>
      <c r="N341" s="73">
        <f t="shared" si="341"/>
        <v>0.8</v>
      </c>
      <c r="O341" s="73">
        <v>0.8</v>
      </c>
      <c r="P341" s="73"/>
      <c r="Q341" s="73"/>
      <c r="R341" s="73"/>
      <c r="S341" s="73"/>
      <c r="T341" s="73">
        <f t="shared" si="343"/>
        <v>0</v>
      </c>
      <c r="U341" s="73"/>
      <c r="V341" s="73"/>
      <c r="W341" s="73"/>
      <c r="X341" s="73"/>
      <c r="Y341" s="73"/>
      <c r="Z341" s="73"/>
      <c r="AA341" s="80">
        <v>0.8</v>
      </c>
      <c r="AB341" s="73"/>
    </row>
    <row r="342" s="57" customFormat="1" ht="26.25" customHeight="1" spans="1:28">
      <c r="A342" s="67">
        <f>342-6</f>
        <v>336</v>
      </c>
      <c r="B342" s="68"/>
      <c r="C342" s="68"/>
      <c r="D342" s="68"/>
      <c r="E342" s="68"/>
      <c r="F342" s="68"/>
      <c r="G342" s="68"/>
      <c r="H342" s="68" t="s">
        <v>544</v>
      </c>
      <c r="I342" s="73">
        <f t="shared" si="339"/>
        <v>0.5</v>
      </c>
      <c r="J342" s="73"/>
      <c r="K342" s="73"/>
      <c r="L342" s="73">
        <v>0.5</v>
      </c>
      <c r="M342" s="73"/>
      <c r="N342" s="73">
        <f t="shared" si="341"/>
        <v>0.5</v>
      </c>
      <c r="O342" s="73">
        <v>0.5</v>
      </c>
      <c r="P342" s="73"/>
      <c r="Q342" s="73"/>
      <c r="R342" s="73"/>
      <c r="S342" s="73"/>
      <c r="T342" s="73">
        <f t="shared" si="343"/>
        <v>0</v>
      </c>
      <c r="U342" s="73"/>
      <c r="V342" s="73"/>
      <c r="W342" s="73"/>
      <c r="X342" s="73"/>
      <c r="Y342" s="73"/>
      <c r="Z342" s="73"/>
      <c r="AA342" s="80">
        <v>0.5</v>
      </c>
      <c r="AB342" s="73"/>
    </row>
    <row r="343" s="57" customFormat="1" ht="26.25" customHeight="1" spans="1:28">
      <c r="A343" s="67">
        <f>343-6</f>
        <v>337</v>
      </c>
      <c r="B343" s="68"/>
      <c r="C343" s="68"/>
      <c r="D343" s="68"/>
      <c r="E343" s="68"/>
      <c r="F343" s="68"/>
      <c r="G343" s="68"/>
      <c r="H343" s="68" t="s">
        <v>545</v>
      </c>
      <c r="I343" s="73">
        <f t="shared" si="339"/>
        <v>1.5</v>
      </c>
      <c r="J343" s="73"/>
      <c r="K343" s="73"/>
      <c r="L343" s="73">
        <v>1.5</v>
      </c>
      <c r="M343" s="73"/>
      <c r="N343" s="73">
        <f t="shared" si="341"/>
        <v>1.5</v>
      </c>
      <c r="O343" s="73">
        <v>1.5</v>
      </c>
      <c r="P343" s="73"/>
      <c r="Q343" s="73"/>
      <c r="R343" s="73"/>
      <c r="S343" s="73"/>
      <c r="T343" s="73">
        <f t="shared" si="343"/>
        <v>0</v>
      </c>
      <c r="U343" s="73"/>
      <c r="V343" s="73"/>
      <c r="W343" s="73"/>
      <c r="X343" s="73"/>
      <c r="Y343" s="73"/>
      <c r="Z343" s="73"/>
      <c r="AA343" s="80">
        <v>1.5</v>
      </c>
      <c r="AB343" s="73"/>
    </row>
    <row r="344" s="57" customFormat="1" ht="26.25" customHeight="1" spans="1:28">
      <c r="A344" s="67">
        <f>344-6</f>
        <v>338</v>
      </c>
      <c r="B344" s="68"/>
      <c r="C344" s="68"/>
      <c r="D344" s="68"/>
      <c r="E344" s="68"/>
      <c r="F344" s="68"/>
      <c r="G344" s="68"/>
      <c r="H344" s="68" t="s">
        <v>546</v>
      </c>
      <c r="I344" s="73">
        <f t="shared" si="339"/>
        <v>40</v>
      </c>
      <c r="J344" s="73"/>
      <c r="K344" s="73"/>
      <c r="L344" s="73">
        <v>40</v>
      </c>
      <c r="M344" s="73"/>
      <c r="N344" s="73">
        <f t="shared" si="341"/>
        <v>40</v>
      </c>
      <c r="O344" s="73">
        <v>40</v>
      </c>
      <c r="P344" s="73"/>
      <c r="Q344" s="73"/>
      <c r="R344" s="73"/>
      <c r="S344" s="73"/>
      <c r="T344" s="73">
        <f t="shared" si="343"/>
        <v>0</v>
      </c>
      <c r="U344" s="73"/>
      <c r="V344" s="73"/>
      <c r="W344" s="73"/>
      <c r="X344" s="73"/>
      <c r="Y344" s="73"/>
      <c r="Z344" s="73"/>
      <c r="AA344" s="80"/>
      <c r="AB344" s="73"/>
    </row>
    <row r="345" s="57" customFormat="1" ht="26.25" customHeight="1" spans="1:28">
      <c r="A345" s="67">
        <f>345-6</f>
        <v>339</v>
      </c>
      <c r="B345" s="68"/>
      <c r="C345" s="68"/>
      <c r="D345" s="68"/>
      <c r="E345" s="68"/>
      <c r="F345" s="68"/>
      <c r="G345" s="68"/>
      <c r="H345" s="68" t="s">
        <v>547</v>
      </c>
      <c r="I345" s="73">
        <f t="shared" si="339"/>
        <v>81.06</v>
      </c>
      <c r="J345" s="73"/>
      <c r="K345" s="73"/>
      <c r="L345" s="73">
        <v>81.06</v>
      </c>
      <c r="M345" s="73"/>
      <c r="N345" s="73">
        <f t="shared" si="341"/>
        <v>81.06</v>
      </c>
      <c r="O345" s="73">
        <v>81.06</v>
      </c>
      <c r="P345" s="73"/>
      <c r="Q345" s="73"/>
      <c r="R345" s="73"/>
      <c r="S345" s="73"/>
      <c r="T345" s="73">
        <f t="shared" si="343"/>
        <v>0</v>
      </c>
      <c r="U345" s="73"/>
      <c r="V345" s="73"/>
      <c r="W345" s="73"/>
      <c r="X345" s="73"/>
      <c r="Y345" s="73"/>
      <c r="Z345" s="73"/>
      <c r="AA345" s="80"/>
      <c r="AB345" s="73"/>
    </row>
    <row r="346" s="57" customFormat="1" ht="26.25" customHeight="1" spans="1:28">
      <c r="A346" s="82"/>
      <c r="B346" s="83"/>
      <c r="C346" s="83"/>
      <c r="D346" s="83"/>
      <c r="E346" s="83"/>
      <c r="F346" s="83"/>
      <c r="G346" s="83"/>
      <c r="H346" s="83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</row>
    <row r="347" s="57" customFormat="1" ht="26.25" customHeight="1" spans="1:28">
      <c r="A347" s="82"/>
      <c r="B347" s="83"/>
      <c r="C347" s="83"/>
      <c r="D347" s="83"/>
      <c r="E347" s="83"/>
      <c r="F347" s="83"/>
      <c r="G347" s="83"/>
      <c r="H347" s="83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</row>
    <row r="348" s="57" customFormat="1" ht="26.25" customHeight="1" spans="1:28">
      <c r="A348" s="82"/>
      <c r="B348" s="83"/>
      <c r="C348" s="83"/>
      <c r="D348" s="83"/>
      <c r="E348" s="83"/>
      <c r="F348" s="83"/>
      <c r="G348" s="83"/>
      <c r="H348" s="83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</row>
    <row r="349" s="57" customFormat="1" ht="26.25" customHeight="1" spans="1:28">
      <c r="A349" s="82"/>
      <c r="B349" s="83"/>
      <c r="C349" s="83"/>
      <c r="D349" s="83"/>
      <c r="E349" s="83"/>
      <c r="F349" s="83"/>
      <c r="G349" s="83"/>
      <c r="H349" s="83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</row>
    <row r="350" s="57" customFormat="1" ht="26.25" customHeight="1" spans="1:28">
      <c r="A350" s="82"/>
      <c r="B350" s="83"/>
      <c r="C350" s="83"/>
      <c r="D350" s="83"/>
      <c r="E350" s="83"/>
      <c r="F350" s="83"/>
      <c r="G350" s="83"/>
      <c r="H350" s="83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</row>
    <row r="351" s="57" customFormat="1" ht="26.25" customHeight="1" spans="1:28">
      <c r="A351" s="82"/>
      <c r="B351" s="83"/>
      <c r="C351" s="83"/>
      <c r="D351" s="83"/>
      <c r="E351" s="83"/>
      <c r="F351" s="83"/>
      <c r="G351" s="83"/>
      <c r="H351" s="83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</row>
    <row r="352" s="57" customFormat="1" ht="26.25" customHeight="1" spans="1:28">
      <c r="A352" s="82"/>
      <c r="B352" s="83"/>
      <c r="C352" s="83"/>
      <c r="D352" s="83"/>
      <c r="E352" s="83"/>
      <c r="F352" s="83"/>
      <c r="G352" s="83"/>
      <c r="H352" s="83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</row>
    <row r="353" s="57" customFormat="1" ht="26.25" customHeight="1" spans="1:28">
      <c r="A353" s="82"/>
      <c r="B353" s="83"/>
      <c r="C353" s="83"/>
      <c r="D353" s="83"/>
      <c r="E353" s="83"/>
      <c r="F353" s="83"/>
      <c r="G353" s="83"/>
      <c r="H353" s="83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</row>
    <row r="354" s="57" customFormat="1" ht="26.25" customHeight="1" spans="1:28">
      <c r="A354" s="82"/>
      <c r="B354" s="83"/>
      <c r="C354" s="83"/>
      <c r="D354" s="83"/>
      <c r="E354" s="83"/>
      <c r="F354" s="83"/>
      <c r="G354" s="83"/>
      <c r="H354" s="83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</row>
    <row r="355" s="57" customFormat="1" ht="26.25" customHeight="1" spans="1:28">
      <c r="A355" s="82"/>
      <c r="B355" s="83"/>
      <c r="C355" s="83"/>
      <c r="D355" s="83"/>
      <c r="E355" s="83"/>
      <c r="F355" s="83"/>
      <c r="G355" s="83"/>
      <c r="H355" s="83"/>
      <c r="I355" s="84"/>
      <c r="J355" s="84"/>
      <c r="K355" s="84"/>
      <c r="L355" s="84"/>
      <c r="M355" s="84"/>
      <c r="N355" s="84"/>
      <c r="O355" s="85"/>
      <c r="P355" s="85"/>
      <c r="Q355" s="85"/>
      <c r="R355" s="85"/>
      <c r="S355" s="85"/>
      <c r="T355" s="84"/>
      <c r="U355" s="85"/>
      <c r="V355" s="85"/>
      <c r="W355" s="85"/>
      <c r="X355" s="85"/>
      <c r="Y355" s="85"/>
      <c r="Z355" s="85"/>
      <c r="AA355" s="84"/>
      <c r="AB355" s="84"/>
    </row>
    <row r="356" s="57" customFormat="1" ht="26.25" customHeight="1" spans="1:28">
      <c r="A356" s="82"/>
      <c r="B356" s="83"/>
      <c r="C356" s="83"/>
      <c r="D356" s="83"/>
      <c r="E356" s="83"/>
      <c r="F356" s="83"/>
      <c r="G356" s="83"/>
      <c r="H356" s="83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</row>
    <row r="357" s="57" customFormat="1" ht="26.25" customHeight="1" spans="1:28">
      <c r="A357" s="82"/>
      <c r="B357" s="83"/>
      <c r="C357" s="83"/>
      <c r="D357" s="83"/>
      <c r="E357" s="83"/>
      <c r="F357" s="83"/>
      <c r="G357" s="83"/>
      <c r="H357" s="83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</row>
    <row r="358" s="57" customFormat="1" ht="26.25" customHeight="1" spans="1:28">
      <c r="A358" s="82"/>
      <c r="B358" s="83"/>
      <c r="C358" s="83"/>
      <c r="D358" s="83"/>
      <c r="E358" s="83"/>
      <c r="F358" s="83"/>
      <c r="G358" s="83"/>
      <c r="H358" s="83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</row>
    <row r="359" s="57" customFormat="1" ht="26.25" customHeight="1" spans="1:28">
      <c r="A359" s="82"/>
      <c r="B359" s="83"/>
      <c r="C359" s="83"/>
      <c r="D359" s="83"/>
      <c r="E359" s="83"/>
      <c r="F359" s="83"/>
      <c r="G359" s="83"/>
      <c r="H359" s="83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</row>
    <row r="360" s="57" customFormat="1" ht="26.25" customHeight="1" spans="1:28">
      <c r="A360" s="82"/>
      <c r="B360" s="83"/>
      <c r="C360" s="83"/>
      <c r="D360" s="83"/>
      <c r="E360" s="83"/>
      <c r="F360" s="83"/>
      <c r="G360" s="83"/>
      <c r="H360" s="83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</row>
    <row r="361" s="57" customFormat="1" ht="26.25" customHeight="1" spans="1:28">
      <c r="A361" s="82"/>
      <c r="B361" s="83"/>
      <c r="C361" s="83"/>
      <c r="D361" s="83"/>
      <c r="E361" s="83"/>
      <c r="F361" s="83"/>
      <c r="G361" s="83"/>
      <c r="H361" s="83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</row>
    <row r="362" s="57" customFormat="1" ht="26.25" customHeight="1" spans="1:28">
      <c r="A362" s="82"/>
      <c r="B362" s="83"/>
      <c r="C362" s="83"/>
      <c r="D362" s="83"/>
      <c r="E362" s="83"/>
      <c r="F362" s="83"/>
      <c r="G362" s="83"/>
      <c r="H362" s="83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</row>
    <row r="363" s="57" customFormat="1" ht="26.25" customHeight="1" spans="1:28">
      <c r="A363" s="82"/>
      <c r="B363" s="83"/>
      <c r="C363" s="83"/>
      <c r="D363" s="83"/>
      <c r="E363" s="83"/>
      <c r="F363" s="83"/>
      <c r="G363" s="83"/>
      <c r="H363" s="83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</row>
    <row r="364" s="57" customFormat="1" ht="26.25" customHeight="1" spans="1:28">
      <c r="A364" s="82"/>
      <c r="B364" s="83"/>
      <c r="C364" s="83"/>
      <c r="D364" s="83"/>
      <c r="E364" s="83"/>
      <c r="F364" s="83"/>
      <c r="G364" s="83"/>
      <c r="H364" s="83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</row>
    <row r="365" s="57" customFormat="1" ht="26.25" customHeight="1" spans="1:28">
      <c r="A365" s="82"/>
      <c r="B365" s="83"/>
      <c r="C365" s="83"/>
      <c r="D365" s="83"/>
      <c r="E365" s="83"/>
      <c r="F365" s="83"/>
      <c r="G365" s="83"/>
      <c r="H365" s="83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</row>
    <row r="366" s="57" customFormat="1" ht="26.25" customHeight="1" spans="1:28">
      <c r="A366" s="82"/>
      <c r="B366" s="83"/>
      <c r="C366" s="83"/>
      <c r="D366" s="83"/>
      <c r="E366" s="83"/>
      <c r="F366" s="83"/>
      <c r="G366" s="83"/>
      <c r="H366" s="83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</row>
    <row r="367" s="57" customFormat="1" ht="26.25" customHeight="1" spans="1:28">
      <c r="A367" s="82"/>
      <c r="B367" s="83"/>
      <c r="C367" s="83"/>
      <c r="D367" s="83"/>
      <c r="E367" s="83"/>
      <c r="F367" s="83"/>
      <c r="G367" s="83"/>
      <c r="H367" s="83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</row>
    <row r="368" s="57" customFormat="1" ht="26.25" customHeight="1" spans="1:28">
      <c r="A368" s="82"/>
      <c r="B368" s="83"/>
      <c r="C368" s="83"/>
      <c r="D368" s="83"/>
      <c r="E368" s="83"/>
      <c r="F368" s="83"/>
      <c r="G368" s="83"/>
      <c r="H368" s="83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</row>
    <row r="369" s="57" customFormat="1" ht="26.25" customHeight="1" spans="1:28">
      <c r="A369" s="82"/>
      <c r="B369" s="83"/>
      <c r="C369" s="83"/>
      <c r="D369" s="83"/>
      <c r="E369" s="83"/>
      <c r="F369" s="83"/>
      <c r="G369" s="83"/>
      <c r="H369" s="83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</row>
    <row r="370" s="57" customFormat="1" ht="26.25" customHeight="1" spans="1:28">
      <c r="A370" s="82"/>
      <c r="B370" s="83"/>
      <c r="C370" s="83"/>
      <c r="D370" s="83"/>
      <c r="E370" s="83"/>
      <c r="F370" s="83"/>
      <c r="G370" s="83"/>
      <c r="H370" s="83"/>
      <c r="I370" s="84"/>
      <c r="J370" s="84"/>
      <c r="K370" s="84"/>
      <c r="L370" s="84"/>
      <c r="M370" s="84"/>
      <c r="N370" s="84"/>
      <c r="O370" s="85"/>
      <c r="P370" s="85"/>
      <c r="Q370" s="85"/>
      <c r="R370" s="85"/>
      <c r="S370" s="85"/>
      <c r="T370" s="84"/>
      <c r="U370" s="85"/>
      <c r="V370" s="85"/>
      <c r="W370" s="85"/>
      <c r="X370" s="85"/>
      <c r="Y370" s="85"/>
      <c r="Z370" s="85"/>
      <c r="AA370" s="84"/>
      <c r="AB370" s="84"/>
    </row>
    <row r="371" s="57" customFormat="1" ht="26.25" customHeight="1" spans="1:28">
      <c r="A371" s="82"/>
      <c r="B371" s="83"/>
      <c r="C371" s="83"/>
      <c r="D371" s="83"/>
      <c r="E371" s="83"/>
      <c r="F371" s="83"/>
      <c r="G371" s="83"/>
      <c r="H371" s="83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</row>
    <row r="372" s="57" customFormat="1" ht="26.25" customHeight="1" spans="1:28">
      <c r="A372" s="82"/>
      <c r="B372" s="83"/>
      <c r="C372" s="83"/>
      <c r="D372" s="83"/>
      <c r="E372" s="83"/>
      <c r="F372" s="83"/>
      <c r="G372" s="83"/>
      <c r="H372" s="83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</row>
    <row r="373" s="57" customFormat="1" ht="26.25" customHeight="1" spans="1:28">
      <c r="A373" s="82"/>
      <c r="B373" s="83"/>
      <c r="C373" s="83"/>
      <c r="D373" s="83"/>
      <c r="E373" s="83"/>
      <c r="F373" s="83"/>
      <c r="G373" s="83"/>
      <c r="H373" s="83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</row>
    <row r="374" s="57" customFormat="1" ht="26.25" customHeight="1" spans="1:28">
      <c r="A374" s="82"/>
      <c r="B374" s="83"/>
      <c r="C374" s="83"/>
      <c r="D374" s="83"/>
      <c r="E374" s="83"/>
      <c r="F374" s="83"/>
      <c r="G374" s="83"/>
      <c r="H374" s="83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</row>
    <row r="375" s="57" customFormat="1" ht="26.25" customHeight="1" spans="1:28">
      <c r="A375" s="82"/>
      <c r="B375" s="83"/>
      <c r="C375" s="83"/>
      <c r="D375" s="83"/>
      <c r="E375" s="83"/>
      <c r="F375" s="83"/>
      <c r="G375" s="83"/>
      <c r="H375" s="83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</row>
    <row r="376" s="57" customFormat="1" ht="26.25" customHeight="1" spans="1:28">
      <c r="A376" s="82"/>
      <c r="B376" s="83"/>
      <c r="C376" s="83"/>
      <c r="D376" s="83"/>
      <c r="E376" s="83"/>
      <c r="F376" s="83"/>
      <c r="G376" s="83"/>
      <c r="H376" s="83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</row>
    <row r="377" s="57" customFormat="1" ht="26.25" customHeight="1" spans="1:28">
      <c r="A377" s="82"/>
      <c r="B377" s="83"/>
      <c r="C377" s="83"/>
      <c r="D377" s="83"/>
      <c r="E377" s="83"/>
      <c r="F377" s="83"/>
      <c r="G377" s="83"/>
      <c r="H377" s="83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</row>
    <row r="378" s="57" customFormat="1" ht="26.25" customHeight="1" spans="1:28">
      <c r="A378" s="82"/>
      <c r="B378" s="83"/>
      <c r="C378" s="83"/>
      <c r="D378" s="83"/>
      <c r="E378" s="83"/>
      <c r="F378" s="83"/>
      <c r="G378" s="83"/>
      <c r="H378" s="83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</row>
    <row r="379" s="57" customFormat="1" ht="26.25" customHeight="1" spans="1:28">
      <c r="A379" s="82"/>
      <c r="B379" s="83"/>
      <c r="C379" s="83"/>
      <c r="D379" s="83"/>
      <c r="E379" s="83"/>
      <c r="F379" s="83"/>
      <c r="G379" s="83"/>
      <c r="H379" s="83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</row>
    <row r="380" s="57" customFormat="1" ht="26.25" customHeight="1" spans="1:28">
      <c r="A380" s="82"/>
      <c r="B380" s="83"/>
      <c r="C380" s="83"/>
      <c r="D380" s="83"/>
      <c r="E380" s="83"/>
      <c r="F380" s="83"/>
      <c r="G380" s="83"/>
      <c r="H380" s="83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</row>
    <row r="381" s="57" customFormat="1" ht="26.25" customHeight="1" spans="1:28">
      <c r="A381" s="82"/>
      <c r="B381" s="83"/>
      <c r="C381" s="83"/>
      <c r="D381" s="83"/>
      <c r="E381" s="83"/>
      <c r="F381" s="83"/>
      <c r="G381" s="83"/>
      <c r="H381" s="83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</row>
    <row r="382" s="57" customFormat="1" ht="26.25" customHeight="1" spans="1:28">
      <c r="A382" s="82"/>
      <c r="B382" s="83"/>
      <c r="C382" s="83"/>
      <c r="D382" s="83"/>
      <c r="E382" s="83"/>
      <c r="F382" s="83"/>
      <c r="G382" s="83"/>
      <c r="H382" s="83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</row>
    <row r="383" s="57" customFormat="1" ht="26.25" customHeight="1" spans="1:28">
      <c r="A383" s="82"/>
      <c r="B383" s="83"/>
      <c r="C383" s="83"/>
      <c r="D383" s="83"/>
      <c r="E383" s="83"/>
      <c r="F383" s="83"/>
      <c r="G383" s="83"/>
      <c r="H383" s="83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</row>
    <row r="384" s="57" customFormat="1" ht="26.25" customHeight="1" spans="1:28">
      <c r="A384" s="82"/>
      <c r="B384" s="83"/>
      <c r="C384" s="83"/>
      <c r="D384" s="83"/>
      <c r="E384" s="83"/>
      <c r="F384" s="83"/>
      <c r="G384" s="83"/>
      <c r="H384" s="83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</row>
    <row r="385" s="57" customFormat="1" ht="26.25" customHeight="1" spans="1:28">
      <c r="A385" s="82"/>
      <c r="B385" s="83"/>
      <c r="C385" s="83"/>
      <c r="D385" s="83"/>
      <c r="E385" s="83"/>
      <c r="F385" s="83"/>
      <c r="G385" s="83"/>
      <c r="H385" s="83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</row>
    <row r="386" s="57" customFormat="1" ht="26.25" customHeight="1" spans="1:28">
      <c r="A386" s="82"/>
      <c r="B386" s="83"/>
      <c r="C386" s="83"/>
      <c r="D386" s="83"/>
      <c r="E386" s="83"/>
      <c r="F386" s="83"/>
      <c r="G386" s="83"/>
      <c r="H386" s="83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</row>
    <row r="387" s="57" customFormat="1" ht="26.25" customHeight="1" spans="1:28">
      <c r="A387" s="82"/>
      <c r="B387" s="83"/>
      <c r="C387" s="83"/>
      <c r="D387" s="83"/>
      <c r="E387" s="83"/>
      <c r="F387" s="83"/>
      <c r="G387" s="83"/>
      <c r="H387" s="83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</row>
    <row r="388" s="57" customFormat="1" ht="26.25" customHeight="1" spans="1:28">
      <c r="A388" s="82"/>
      <c r="B388" s="83"/>
      <c r="C388" s="83"/>
      <c r="D388" s="83"/>
      <c r="E388" s="83"/>
      <c r="F388" s="83"/>
      <c r="G388" s="83"/>
      <c r="H388" s="83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</row>
    <row r="389" s="57" customFormat="1" ht="26.25" customHeight="1" spans="1:28">
      <c r="A389" s="82"/>
      <c r="B389" s="83"/>
      <c r="C389" s="83"/>
      <c r="D389" s="83"/>
      <c r="E389" s="83"/>
      <c r="F389" s="83"/>
      <c r="G389" s="83"/>
      <c r="H389" s="83"/>
      <c r="I389" s="84"/>
      <c r="J389" s="84"/>
      <c r="K389" s="84"/>
      <c r="L389" s="84"/>
      <c r="M389" s="84"/>
      <c r="N389" s="84"/>
      <c r="O389" s="85"/>
      <c r="P389" s="85"/>
      <c r="Q389" s="85"/>
      <c r="R389" s="85"/>
      <c r="S389" s="85"/>
      <c r="T389" s="84"/>
      <c r="U389" s="85"/>
      <c r="V389" s="85"/>
      <c r="W389" s="85"/>
      <c r="X389" s="85"/>
      <c r="Y389" s="85"/>
      <c r="Z389" s="85"/>
      <c r="AA389" s="84"/>
      <c r="AB389" s="84"/>
    </row>
    <row r="390" s="57" customFormat="1" ht="26.25" customHeight="1" spans="1:28">
      <c r="A390" s="82"/>
      <c r="B390" s="83"/>
      <c r="C390" s="83"/>
      <c r="D390" s="83"/>
      <c r="E390" s="83"/>
      <c r="F390" s="83"/>
      <c r="G390" s="83"/>
      <c r="H390" s="83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</row>
    <row r="391" s="57" customFormat="1" ht="26.25" customHeight="1" spans="1:28">
      <c r="A391" s="82"/>
      <c r="B391" s="83"/>
      <c r="C391" s="83"/>
      <c r="D391" s="83"/>
      <c r="E391" s="83"/>
      <c r="F391" s="83"/>
      <c r="G391" s="83"/>
      <c r="H391" s="83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</row>
    <row r="392" s="57" customFormat="1" ht="26.25" customHeight="1" spans="1:28">
      <c r="A392" s="82"/>
      <c r="B392" s="83"/>
      <c r="C392" s="83"/>
      <c r="D392" s="83"/>
      <c r="E392" s="83"/>
      <c r="F392" s="83"/>
      <c r="G392" s="83"/>
      <c r="H392" s="83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</row>
    <row r="393" s="57" customFormat="1" ht="26.25" customHeight="1" spans="1:28">
      <c r="A393" s="82"/>
      <c r="B393" s="83"/>
      <c r="C393" s="83"/>
      <c r="D393" s="83"/>
      <c r="E393" s="83"/>
      <c r="F393" s="83"/>
      <c r="G393" s="83"/>
      <c r="H393" s="83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</row>
    <row r="394" s="57" customFormat="1" ht="26.25" customHeight="1" spans="1:28">
      <c r="A394" s="82"/>
      <c r="B394" s="83"/>
      <c r="C394" s="83"/>
      <c r="D394" s="83"/>
      <c r="E394" s="83"/>
      <c r="F394" s="83"/>
      <c r="G394" s="83"/>
      <c r="H394" s="83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</row>
    <row r="395" s="57" customFormat="1" ht="26.25" customHeight="1" spans="1:28">
      <c r="A395" s="82"/>
      <c r="B395" s="83"/>
      <c r="C395" s="83"/>
      <c r="D395" s="83"/>
      <c r="E395" s="83"/>
      <c r="F395" s="83"/>
      <c r="G395" s="83"/>
      <c r="H395" s="83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</row>
    <row r="396" s="57" customFormat="1" ht="26.25" customHeight="1" spans="1:28">
      <c r="A396" s="82"/>
      <c r="B396" s="83"/>
      <c r="C396" s="83"/>
      <c r="D396" s="83"/>
      <c r="E396" s="83"/>
      <c r="F396" s="83"/>
      <c r="G396" s="83"/>
      <c r="H396" s="83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</row>
    <row r="397" s="57" customFormat="1" ht="26.25" customHeight="1" spans="1:28">
      <c r="A397" s="82"/>
      <c r="B397" s="83"/>
      <c r="C397" s="83"/>
      <c r="D397" s="83"/>
      <c r="E397" s="83"/>
      <c r="F397" s="83"/>
      <c r="G397" s="83"/>
      <c r="H397" s="83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</row>
    <row r="398" s="57" customFormat="1" ht="26.25" customHeight="1" spans="1:28">
      <c r="A398" s="82"/>
      <c r="B398" s="83"/>
      <c r="C398" s="83"/>
      <c r="D398" s="83"/>
      <c r="E398" s="83"/>
      <c r="F398" s="83"/>
      <c r="G398" s="83"/>
      <c r="H398" s="83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</row>
    <row r="399" s="57" customFormat="1" ht="26.25" customHeight="1" spans="1:28">
      <c r="A399" s="82"/>
      <c r="B399" s="83"/>
      <c r="C399" s="83"/>
      <c r="D399" s="83"/>
      <c r="E399" s="83"/>
      <c r="F399" s="83"/>
      <c r="G399" s="83"/>
      <c r="H399" s="83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</row>
    <row r="400" s="57" customFormat="1" ht="26.25" customHeight="1" spans="1:28">
      <c r="A400" s="82"/>
      <c r="B400" s="83"/>
      <c r="C400" s="83"/>
      <c r="D400" s="83"/>
      <c r="E400" s="83"/>
      <c r="F400" s="83"/>
      <c r="G400" s="83"/>
      <c r="H400" s="83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</row>
    <row r="401" s="57" customFormat="1" ht="26.25" customHeight="1" spans="1:28">
      <c r="A401" s="82"/>
      <c r="B401" s="83"/>
      <c r="C401" s="83"/>
      <c r="D401" s="83"/>
      <c r="E401" s="83"/>
      <c r="F401" s="83"/>
      <c r="G401" s="83"/>
      <c r="H401" s="83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</row>
    <row r="402" s="57" customFormat="1" ht="26.25" customHeight="1" spans="1:28">
      <c r="A402" s="82"/>
      <c r="B402" s="83"/>
      <c r="C402" s="83"/>
      <c r="D402" s="83"/>
      <c r="E402" s="83"/>
      <c r="F402" s="83"/>
      <c r="G402" s="83"/>
      <c r="H402" s="83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</row>
    <row r="403" s="57" customFormat="1" ht="26.25" customHeight="1" spans="1:28">
      <c r="A403" s="82"/>
      <c r="B403" s="83"/>
      <c r="C403" s="83"/>
      <c r="D403" s="83"/>
      <c r="E403" s="83"/>
      <c r="F403" s="83"/>
      <c r="G403" s="83"/>
      <c r="H403" s="83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</row>
    <row r="404" s="57" customFormat="1" ht="26.25" customHeight="1" spans="1:28">
      <c r="A404" s="82"/>
      <c r="B404" s="83"/>
      <c r="C404" s="83"/>
      <c r="D404" s="83"/>
      <c r="E404" s="83"/>
      <c r="F404" s="83"/>
      <c r="G404" s="83"/>
      <c r="H404" s="83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</row>
  </sheetData>
  <mergeCells count="19">
    <mergeCell ref="A1:AB1"/>
    <mergeCell ref="A2:D2"/>
    <mergeCell ref="Z2:AB2"/>
    <mergeCell ref="I3:Z3"/>
    <mergeCell ref="I4:M4"/>
    <mergeCell ref="N4:Q4"/>
    <mergeCell ref="T4:Y4"/>
    <mergeCell ref="A6:H6"/>
    <mergeCell ref="A3:A5"/>
    <mergeCell ref="B3:B5"/>
    <mergeCell ref="F3:F5"/>
    <mergeCell ref="G3:G5"/>
    <mergeCell ref="H3:H5"/>
    <mergeCell ref="R4:R5"/>
    <mergeCell ref="S4:S5"/>
    <mergeCell ref="Z4:Z5"/>
    <mergeCell ref="AA3:AA5"/>
    <mergeCell ref="AB3:AB5"/>
    <mergeCell ref="C3:E5"/>
  </mergeCells>
  <printOptions horizontalCentered="1"/>
  <pageMargins left="0.118110236220472" right="0" top="0.15748031496063" bottom="0" header="0.31496062992126" footer="0.31496062992126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2"/>
  <sheetViews>
    <sheetView showRuler="0" workbookViewId="0">
      <selection activeCell="J2" sqref="J$1:K$1048576"/>
    </sheetView>
  </sheetViews>
  <sheetFormatPr defaultColWidth="4.71428571428571" defaultRowHeight="15"/>
  <cols>
    <col min="2" max="2" width="18.7142857142857" customWidth="1"/>
    <col min="5" max="5" width="8.28571428571429" customWidth="1"/>
    <col min="6" max="6" width="16" customWidth="1"/>
    <col min="7" max="7" width="10.5714285714286" customWidth="1"/>
    <col min="8" max="8" width="28.2857142857143" customWidth="1"/>
    <col min="9" max="9" width="26" customWidth="1"/>
    <col min="10" max="11" width="4.71428571428571" hidden="1" customWidth="1"/>
    <col min="12" max="12" width="17.1428571428571" customWidth="1"/>
    <col min="13" max="13" width="6.42857142857143" customWidth="1"/>
    <col min="14" max="14" width="9.71428571428571" customWidth="1"/>
    <col min="15" max="15" width="9" customWidth="1"/>
    <col min="16" max="16" width="9.71428571428571" customWidth="1"/>
    <col min="17" max="20" width="4.71428571428571" hidden="1" customWidth="1"/>
    <col min="21" max="21" width="9" customWidth="1"/>
    <col min="22" max="25" width="4.71428571428571" hidden="1" customWidth="1"/>
    <col min="26" max="26" width="8.85714285714286" customWidth="1"/>
    <col min="27" max="27" width="11.2857142857143" customWidth="1"/>
  </cols>
  <sheetData>
    <row r="1" ht="27" customHeight="1" spans="1:27">
      <c r="A1" s="18" t="s">
        <v>548</v>
      </c>
      <c r="B1" s="18"/>
      <c r="C1" s="19"/>
      <c r="D1" s="19"/>
      <c r="E1" s="18"/>
      <c r="F1" s="19"/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ht="13.5" customHeight="1" spans="1:27">
      <c r="A2" s="20" t="s">
        <v>549</v>
      </c>
      <c r="B2" s="20"/>
      <c r="C2" s="21"/>
      <c r="D2" s="21"/>
      <c r="E2" s="22"/>
      <c r="F2" s="21"/>
      <c r="G2" s="21"/>
      <c r="H2" s="23"/>
      <c r="I2" s="23"/>
      <c r="J2" s="23"/>
      <c r="K2" s="23"/>
      <c r="L2" s="23"/>
      <c r="M2" s="23"/>
      <c r="N2" s="23"/>
      <c r="O2" s="36"/>
      <c r="P2" s="37" t="s">
        <v>7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ht="13.5" customHeight="1" spans="1:27">
      <c r="A3" s="24" t="s">
        <v>36</v>
      </c>
      <c r="B3" s="25" t="s">
        <v>37</v>
      </c>
      <c r="C3" s="26" t="s">
        <v>550</v>
      </c>
      <c r="D3" s="26"/>
      <c r="E3" s="26"/>
      <c r="F3" s="27" t="s">
        <v>233</v>
      </c>
      <c r="G3" s="28" t="s">
        <v>234</v>
      </c>
      <c r="H3" s="29" t="s">
        <v>235</v>
      </c>
      <c r="I3" s="24" t="s">
        <v>551</v>
      </c>
      <c r="J3" s="24" t="s">
        <v>552</v>
      </c>
      <c r="K3" s="24" t="s">
        <v>553</v>
      </c>
      <c r="L3" s="24" t="s">
        <v>554</v>
      </c>
      <c r="M3" s="24" t="s">
        <v>555</v>
      </c>
      <c r="N3" s="38" t="s">
        <v>11</v>
      </c>
      <c r="O3" s="39" t="s">
        <v>556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ht="13.5" customHeight="1" spans="1:27">
      <c r="A4" s="24"/>
      <c r="B4" s="25"/>
      <c r="C4" s="26"/>
      <c r="D4" s="26"/>
      <c r="E4" s="26"/>
      <c r="F4" s="27"/>
      <c r="G4" s="30"/>
      <c r="H4" s="29"/>
      <c r="I4" s="24"/>
      <c r="J4" s="24"/>
      <c r="K4" s="24"/>
      <c r="L4" s="24"/>
      <c r="M4" s="24"/>
      <c r="N4" s="38"/>
      <c r="O4" s="25" t="s">
        <v>106</v>
      </c>
      <c r="P4" s="25"/>
      <c r="Q4" s="25"/>
      <c r="R4" s="25"/>
      <c r="S4" s="26" t="s">
        <v>107</v>
      </c>
      <c r="T4" s="29" t="s">
        <v>108</v>
      </c>
      <c r="U4" s="26" t="s">
        <v>109</v>
      </c>
      <c r="V4" s="26"/>
      <c r="W4" s="26"/>
      <c r="X4" s="26"/>
      <c r="Y4" s="26"/>
      <c r="Z4" s="26"/>
      <c r="AA4" s="25" t="s">
        <v>557</v>
      </c>
    </row>
    <row r="5" ht="36" customHeight="1" spans="1:27">
      <c r="A5" s="24"/>
      <c r="B5" s="25"/>
      <c r="C5" s="26"/>
      <c r="D5" s="26"/>
      <c r="E5" s="26"/>
      <c r="F5" s="27"/>
      <c r="G5" s="31"/>
      <c r="H5" s="29"/>
      <c r="I5" s="24"/>
      <c r="J5" s="24"/>
      <c r="K5" s="24"/>
      <c r="L5" s="24"/>
      <c r="M5" s="24"/>
      <c r="N5" s="38"/>
      <c r="O5" s="40" t="s">
        <v>44</v>
      </c>
      <c r="P5" s="25" t="s">
        <v>115</v>
      </c>
      <c r="Q5" s="25" t="s">
        <v>116</v>
      </c>
      <c r="R5" s="25" t="s">
        <v>117</v>
      </c>
      <c r="S5" s="26"/>
      <c r="T5" s="29"/>
      <c r="U5" s="46" t="s">
        <v>44</v>
      </c>
      <c r="V5" s="26" t="s">
        <v>118</v>
      </c>
      <c r="W5" s="26" t="s">
        <v>119</v>
      </c>
      <c r="X5" s="26" t="s">
        <v>120</v>
      </c>
      <c r="Y5" s="26" t="s">
        <v>121</v>
      </c>
      <c r="Z5" s="26" t="s">
        <v>122</v>
      </c>
      <c r="AA5" s="25"/>
    </row>
    <row r="6" ht="26.25" customHeight="1" spans="1:27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41">
        <v>5256</v>
      </c>
      <c r="N6" s="42">
        <v>2079.93275</v>
      </c>
      <c r="O6" s="43">
        <v>2079.93275</v>
      </c>
      <c r="P6" s="43">
        <v>2079.93275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</row>
    <row r="7" ht="35.25" customHeight="1" spans="1:27">
      <c r="A7" s="33">
        <f>7-6</f>
        <v>1</v>
      </c>
      <c r="B7" s="34" t="s">
        <v>50</v>
      </c>
      <c r="C7" s="14"/>
      <c r="D7" s="14"/>
      <c r="E7" s="34"/>
      <c r="F7" s="14"/>
      <c r="G7" s="14"/>
      <c r="H7" s="34"/>
      <c r="I7" s="34"/>
      <c r="J7" s="44"/>
      <c r="K7" s="44"/>
      <c r="L7" s="44"/>
      <c r="M7" s="33">
        <f t="shared" ref="M7:P7" si="0">SUM(M8,M14,M63)</f>
        <v>5256</v>
      </c>
      <c r="N7" s="44">
        <f t="shared" si="0"/>
        <v>2079.93275</v>
      </c>
      <c r="O7" s="14">
        <f t="shared" ref="O7:O70" si="1">SUM(P7,Q7,R7)</f>
        <v>2079.93275</v>
      </c>
      <c r="P7" s="14">
        <f t="shared" si="0"/>
        <v>2079.93275</v>
      </c>
      <c r="Q7" s="47">
        <v>0</v>
      </c>
      <c r="R7" s="47">
        <v>0</v>
      </c>
      <c r="S7" s="47">
        <v>0</v>
      </c>
      <c r="T7" s="47">
        <v>0</v>
      </c>
      <c r="U7" s="48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</row>
    <row r="8" ht="20.25" customHeight="1" spans="1:27">
      <c r="A8" s="33">
        <f>8-6</f>
        <v>2</v>
      </c>
      <c r="B8" s="35"/>
      <c r="C8" s="14" t="s">
        <v>127</v>
      </c>
      <c r="D8" s="14"/>
      <c r="E8" s="35"/>
      <c r="F8" s="14"/>
      <c r="G8" s="14"/>
      <c r="H8" s="35"/>
      <c r="I8" s="35"/>
      <c r="J8" s="14"/>
      <c r="K8" s="14"/>
      <c r="L8" s="14"/>
      <c r="M8" s="45">
        <f t="shared" ref="M8:P8" si="2">SUM(M9)</f>
        <v>1</v>
      </c>
      <c r="N8" s="14">
        <f t="shared" si="2"/>
        <v>128</v>
      </c>
      <c r="O8" s="14">
        <f t="shared" si="1"/>
        <v>128</v>
      </c>
      <c r="P8" s="14">
        <f t="shared" si="2"/>
        <v>128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0</v>
      </c>
      <c r="Y8" s="43">
        <v>0</v>
      </c>
      <c r="Z8" s="43">
        <v>0</v>
      </c>
      <c r="AA8" s="43">
        <v>0</v>
      </c>
    </row>
    <row r="9" ht="20.25" customHeight="1" spans="1:27">
      <c r="A9" s="33">
        <f>9-6</f>
        <v>3</v>
      </c>
      <c r="B9" s="35"/>
      <c r="C9" s="14"/>
      <c r="D9" s="14" t="s">
        <v>309</v>
      </c>
      <c r="E9" s="35"/>
      <c r="F9" s="14"/>
      <c r="G9" s="14"/>
      <c r="H9" s="35"/>
      <c r="I9" s="35"/>
      <c r="J9" s="14"/>
      <c r="K9" s="14"/>
      <c r="L9" s="14"/>
      <c r="M9" s="45">
        <f t="shared" ref="M9:P9" si="3">SUM(M10)</f>
        <v>1</v>
      </c>
      <c r="N9" s="14">
        <f t="shared" si="3"/>
        <v>128</v>
      </c>
      <c r="O9" s="14">
        <f t="shared" si="1"/>
        <v>128</v>
      </c>
      <c r="P9" s="14">
        <f t="shared" si="3"/>
        <v>128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</row>
    <row r="10" ht="20.25" customHeight="1" spans="1:27">
      <c r="A10" s="33">
        <f>10-6</f>
        <v>4</v>
      </c>
      <c r="B10" s="35"/>
      <c r="C10" s="14"/>
      <c r="D10" s="14"/>
      <c r="E10" s="35" t="s">
        <v>66</v>
      </c>
      <c r="F10" s="14"/>
      <c r="G10" s="14"/>
      <c r="H10" s="35"/>
      <c r="I10" s="35"/>
      <c r="J10" s="14"/>
      <c r="K10" s="14"/>
      <c r="L10" s="14"/>
      <c r="M10" s="45">
        <f t="shared" ref="M10:P10" si="4">SUM(M11)</f>
        <v>1</v>
      </c>
      <c r="N10" s="14">
        <f t="shared" si="4"/>
        <v>128</v>
      </c>
      <c r="O10" s="14">
        <f t="shared" si="1"/>
        <v>128</v>
      </c>
      <c r="P10" s="14">
        <f t="shared" si="4"/>
        <v>128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0</v>
      </c>
      <c r="Y10" s="43">
        <v>0</v>
      </c>
      <c r="Z10" s="43">
        <v>0</v>
      </c>
      <c r="AA10" s="43">
        <v>0</v>
      </c>
    </row>
    <row r="11" ht="20.25" customHeight="1" spans="1:27">
      <c r="A11" s="33">
        <f>11-6</f>
        <v>5</v>
      </c>
      <c r="B11" s="14"/>
      <c r="C11" s="14"/>
      <c r="D11" s="14"/>
      <c r="E11" s="14"/>
      <c r="F11" s="14" t="s">
        <v>287</v>
      </c>
      <c r="G11" s="14"/>
      <c r="H11" s="14"/>
      <c r="I11" s="14"/>
      <c r="J11" s="14"/>
      <c r="K11" s="14"/>
      <c r="L11" s="14"/>
      <c r="M11" s="45">
        <f t="shared" ref="M11:P11" si="5">SUM(M12)</f>
        <v>1</v>
      </c>
      <c r="N11" s="14">
        <f t="shared" si="5"/>
        <v>128</v>
      </c>
      <c r="O11" s="14">
        <f t="shared" si="1"/>
        <v>128</v>
      </c>
      <c r="P11" s="14">
        <f t="shared" si="5"/>
        <v>128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</row>
    <row r="12" ht="20.25" customHeight="1" spans="1:27">
      <c r="A12" s="33">
        <f>12-6</f>
        <v>6</v>
      </c>
      <c r="B12" s="14"/>
      <c r="C12" s="14"/>
      <c r="D12" s="14"/>
      <c r="E12" s="14"/>
      <c r="F12" s="14"/>
      <c r="G12" s="14" t="s">
        <v>310</v>
      </c>
      <c r="H12" s="14"/>
      <c r="I12" s="14"/>
      <c r="J12" s="14"/>
      <c r="K12" s="14"/>
      <c r="L12" s="14"/>
      <c r="M12" s="45">
        <f t="shared" ref="M12:P12" si="6">SUM(M13)</f>
        <v>1</v>
      </c>
      <c r="N12" s="14">
        <f t="shared" si="6"/>
        <v>128</v>
      </c>
      <c r="O12" s="14">
        <f t="shared" si="1"/>
        <v>128</v>
      </c>
      <c r="P12" s="14">
        <f t="shared" si="6"/>
        <v>128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</row>
    <row r="13" ht="20.25" customHeight="1" spans="1:27">
      <c r="A13" s="33">
        <f>13-6</f>
        <v>7</v>
      </c>
      <c r="B13" s="35"/>
      <c r="C13" s="14"/>
      <c r="D13" s="14"/>
      <c r="E13" s="35"/>
      <c r="F13" s="14"/>
      <c r="G13" s="14"/>
      <c r="H13" s="35" t="s">
        <v>311</v>
      </c>
      <c r="I13" s="35" t="s">
        <v>558</v>
      </c>
      <c r="J13" s="14"/>
      <c r="K13" s="14"/>
      <c r="L13" s="14" t="s">
        <v>559</v>
      </c>
      <c r="M13" s="45">
        <v>1</v>
      </c>
      <c r="N13" s="14">
        <v>128</v>
      </c>
      <c r="O13" s="14">
        <f t="shared" si="1"/>
        <v>128</v>
      </c>
      <c r="P13" s="14">
        <v>128</v>
      </c>
      <c r="Q13" s="43"/>
      <c r="R13" s="43"/>
      <c r="S13" s="43"/>
      <c r="T13" s="43"/>
      <c r="U13" s="43">
        <v>0</v>
      </c>
      <c r="V13" s="43"/>
      <c r="W13" s="43"/>
      <c r="X13" s="43"/>
      <c r="Y13" s="43"/>
      <c r="Z13" s="43"/>
      <c r="AA13" s="43"/>
    </row>
    <row r="14" ht="20.25" customHeight="1" spans="1:27">
      <c r="A14" s="33">
        <f>14-6</f>
        <v>8</v>
      </c>
      <c r="B14" s="35"/>
      <c r="C14" s="14" t="s">
        <v>140</v>
      </c>
      <c r="D14" s="14"/>
      <c r="E14" s="35"/>
      <c r="F14" s="14"/>
      <c r="G14" s="14"/>
      <c r="H14" s="35"/>
      <c r="I14" s="35"/>
      <c r="J14" s="14"/>
      <c r="K14" s="14"/>
      <c r="L14" s="14"/>
      <c r="M14" s="45">
        <f t="shared" ref="M14:P14" si="7">SUM(M15)</f>
        <v>5239</v>
      </c>
      <c r="N14" s="14">
        <f t="shared" si="7"/>
        <v>1946.33275</v>
      </c>
      <c r="O14" s="14">
        <f t="shared" si="1"/>
        <v>1946.33275</v>
      </c>
      <c r="P14" s="14">
        <f t="shared" si="7"/>
        <v>1946.33275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</row>
    <row r="15" ht="20.25" customHeight="1" spans="1:27">
      <c r="A15" s="33">
        <f>15-6</f>
        <v>9</v>
      </c>
      <c r="B15" s="35"/>
      <c r="C15" s="14"/>
      <c r="D15" s="14" t="s">
        <v>343</v>
      </c>
      <c r="E15" s="35"/>
      <c r="F15" s="14"/>
      <c r="G15" s="14"/>
      <c r="H15" s="35"/>
      <c r="I15" s="35"/>
      <c r="J15" s="14"/>
      <c r="K15" s="14"/>
      <c r="L15" s="14"/>
      <c r="M15" s="45">
        <f t="shared" ref="M15:P15" si="8">SUM(M16,M41,M49)</f>
        <v>5239</v>
      </c>
      <c r="N15" s="14">
        <f t="shared" si="8"/>
        <v>1946.33275</v>
      </c>
      <c r="O15" s="14">
        <f t="shared" si="1"/>
        <v>1946.33275</v>
      </c>
      <c r="P15" s="14">
        <f t="shared" si="8"/>
        <v>1946.33275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</row>
    <row r="16" ht="20.25" customHeight="1" spans="1:27">
      <c r="A16" s="33">
        <f>16-6</f>
        <v>10</v>
      </c>
      <c r="B16" s="35"/>
      <c r="C16" s="14"/>
      <c r="D16" s="14"/>
      <c r="E16" s="35" t="s">
        <v>73</v>
      </c>
      <c r="F16" s="14"/>
      <c r="G16" s="14"/>
      <c r="H16" s="35"/>
      <c r="I16" s="35"/>
      <c r="J16" s="14"/>
      <c r="K16" s="14"/>
      <c r="L16" s="14"/>
      <c r="M16" s="45">
        <f t="shared" ref="M16:P16" si="9">SUM(M17)</f>
        <v>5220</v>
      </c>
      <c r="N16" s="14">
        <f t="shared" si="9"/>
        <v>762.07275</v>
      </c>
      <c r="O16" s="14">
        <f t="shared" si="1"/>
        <v>762.07275</v>
      </c>
      <c r="P16" s="14">
        <f t="shared" si="9"/>
        <v>762.07275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</row>
    <row r="17" ht="20.25" customHeight="1" spans="1:27">
      <c r="A17" s="33">
        <f>17-6</f>
        <v>11</v>
      </c>
      <c r="B17" s="14"/>
      <c r="C17" s="14"/>
      <c r="D17" s="14"/>
      <c r="E17" s="14"/>
      <c r="F17" s="14" t="s">
        <v>407</v>
      </c>
      <c r="G17" s="14"/>
      <c r="H17" s="14"/>
      <c r="I17" s="14"/>
      <c r="J17" s="14"/>
      <c r="K17" s="14"/>
      <c r="L17" s="14"/>
      <c r="M17" s="45">
        <f t="shared" ref="M17:P17" si="10">SUM(M18,M25,M27,M30,M32,M35,M37,M39)</f>
        <v>5220</v>
      </c>
      <c r="N17" s="14">
        <f t="shared" si="10"/>
        <v>762.07275</v>
      </c>
      <c r="O17" s="14">
        <f t="shared" si="1"/>
        <v>762.07275</v>
      </c>
      <c r="P17" s="14">
        <f t="shared" si="10"/>
        <v>762.07275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</row>
    <row r="18" ht="20.25" customHeight="1" spans="1:27">
      <c r="A18" s="33">
        <f>18-6</f>
        <v>12</v>
      </c>
      <c r="B18" s="14"/>
      <c r="C18" s="14"/>
      <c r="D18" s="14"/>
      <c r="E18" s="14"/>
      <c r="F18" s="14"/>
      <c r="G18" s="14" t="s">
        <v>560</v>
      </c>
      <c r="H18" s="14"/>
      <c r="I18" s="14"/>
      <c r="J18" s="14"/>
      <c r="K18" s="14"/>
      <c r="L18" s="14"/>
      <c r="M18" s="45">
        <f t="shared" ref="M18:P18" si="11">SUM(M19:M24)</f>
        <v>110</v>
      </c>
      <c r="N18" s="14">
        <f t="shared" si="11"/>
        <v>26.3</v>
      </c>
      <c r="O18" s="14">
        <f t="shared" si="1"/>
        <v>26.3</v>
      </c>
      <c r="P18" s="14">
        <f t="shared" si="11"/>
        <v>26.3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X18" s="43">
        <v>0</v>
      </c>
      <c r="Y18" s="43">
        <v>0</v>
      </c>
      <c r="Z18" s="43">
        <v>0</v>
      </c>
      <c r="AA18" s="43">
        <v>0</v>
      </c>
    </row>
    <row r="19" ht="20.25" customHeight="1" spans="1:27">
      <c r="A19" s="33">
        <f>19-6</f>
        <v>13</v>
      </c>
      <c r="B19" s="35"/>
      <c r="C19" s="14"/>
      <c r="D19" s="14"/>
      <c r="E19" s="35"/>
      <c r="F19" s="14"/>
      <c r="G19" s="14"/>
      <c r="H19" s="35" t="s">
        <v>561</v>
      </c>
      <c r="I19" s="35" t="s">
        <v>562</v>
      </c>
      <c r="J19" s="14"/>
      <c r="K19" s="14"/>
      <c r="L19" s="14" t="s">
        <v>559</v>
      </c>
      <c r="M19" s="45">
        <v>2</v>
      </c>
      <c r="N19" s="14">
        <v>0.5</v>
      </c>
      <c r="O19" s="14">
        <f t="shared" si="1"/>
        <v>0.5</v>
      </c>
      <c r="P19" s="14">
        <v>0.5</v>
      </c>
      <c r="Q19" s="43"/>
      <c r="R19" s="43"/>
      <c r="S19" s="43"/>
      <c r="T19" s="43"/>
      <c r="U19" s="43">
        <v>0</v>
      </c>
      <c r="V19" s="43"/>
      <c r="W19" s="43"/>
      <c r="X19" s="43"/>
      <c r="Y19" s="43"/>
      <c r="Z19" s="43"/>
      <c r="AA19" s="43"/>
    </row>
    <row r="20" ht="20.25" customHeight="1" spans="1:27">
      <c r="A20" s="33">
        <f>20-6</f>
        <v>14</v>
      </c>
      <c r="B20" s="35"/>
      <c r="C20" s="14"/>
      <c r="D20" s="14"/>
      <c r="E20" s="35"/>
      <c r="F20" s="14"/>
      <c r="G20" s="14"/>
      <c r="H20" s="35" t="s">
        <v>544</v>
      </c>
      <c r="I20" s="35" t="s">
        <v>563</v>
      </c>
      <c r="J20" s="14"/>
      <c r="K20" s="14"/>
      <c r="L20" s="14" t="s">
        <v>559</v>
      </c>
      <c r="M20" s="45">
        <v>20</v>
      </c>
      <c r="N20" s="14">
        <v>4</v>
      </c>
      <c r="O20" s="14">
        <f t="shared" si="1"/>
        <v>4</v>
      </c>
      <c r="P20" s="14">
        <v>4</v>
      </c>
      <c r="Q20" s="43"/>
      <c r="R20" s="43"/>
      <c r="S20" s="43"/>
      <c r="T20" s="43"/>
      <c r="U20" s="43">
        <v>0</v>
      </c>
      <c r="V20" s="43"/>
      <c r="W20" s="43"/>
      <c r="X20" s="43"/>
      <c r="Y20" s="43"/>
      <c r="Z20" s="43"/>
      <c r="AA20" s="43"/>
    </row>
    <row r="21" ht="20.25" customHeight="1" spans="1:27">
      <c r="A21" s="33">
        <f>21-6</f>
        <v>15</v>
      </c>
      <c r="B21" s="35"/>
      <c r="C21" s="14"/>
      <c r="D21" s="14"/>
      <c r="E21" s="35"/>
      <c r="F21" s="14"/>
      <c r="G21" s="14"/>
      <c r="H21" s="35" t="s">
        <v>564</v>
      </c>
      <c r="I21" s="35" t="s">
        <v>565</v>
      </c>
      <c r="J21" s="14"/>
      <c r="K21" s="14"/>
      <c r="L21" s="14" t="s">
        <v>559</v>
      </c>
      <c r="M21" s="45">
        <v>8</v>
      </c>
      <c r="N21" s="14">
        <v>1.5</v>
      </c>
      <c r="O21" s="14">
        <f t="shared" si="1"/>
        <v>1.5</v>
      </c>
      <c r="P21" s="14">
        <v>1.5</v>
      </c>
      <c r="Q21" s="43"/>
      <c r="R21" s="43"/>
      <c r="S21" s="43"/>
      <c r="T21" s="43"/>
      <c r="U21" s="43">
        <v>0</v>
      </c>
      <c r="V21" s="43"/>
      <c r="W21" s="43"/>
      <c r="X21" s="43"/>
      <c r="Y21" s="43"/>
      <c r="Z21" s="43"/>
      <c r="AA21" s="43"/>
    </row>
    <row r="22" ht="20.25" customHeight="1" spans="1:27">
      <c r="A22" s="33">
        <f>22-6</f>
        <v>16</v>
      </c>
      <c r="B22" s="35"/>
      <c r="C22" s="14"/>
      <c r="D22" s="14"/>
      <c r="E22" s="35"/>
      <c r="F22" s="14"/>
      <c r="G22" s="14"/>
      <c r="H22" s="35" t="s">
        <v>566</v>
      </c>
      <c r="I22" s="35" t="s">
        <v>567</v>
      </c>
      <c r="J22" s="14"/>
      <c r="K22" s="14"/>
      <c r="L22" s="14" t="s">
        <v>559</v>
      </c>
      <c r="M22" s="45">
        <v>45</v>
      </c>
      <c r="N22" s="14">
        <v>18</v>
      </c>
      <c r="O22" s="14">
        <f t="shared" si="1"/>
        <v>18</v>
      </c>
      <c r="P22" s="14">
        <v>18</v>
      </c>
      <c r="Q22" s="43"/>
      <c r="R22" s="43"/>
      <c r="S22" s="43"/>
      <c r="T22" s="43"/>
      <c r="U22" s="43">
        <v>0</v>
      </c>
      <c r="V22" s="43"/>
      <c r="W22" s="43"/>
      <c r="X22" s="43"/>
      <c r="Y22" s="43"/>
      <c r="Z22" s="43"/>
      <c r="AA22" s="43"/>
    </row>
    <row r="23" ht="20.25" customHeight="1" spans="1:27">
      <c r="A23" s="33">
        <f>23-6</f>
        <v>17</v>
      </c>
      <c r="B23" s="35"/>
      <c r="C23" s="14"/>
      <c r="D23" s="14"/>
      <c r="E23" s="35"/>
      <c r="F23" s="14"/>
      <c r="G23" s="14"/>
      <c r="H23" s="35" t="s">
        <v>568</v>
      </c>
      <c r="I23" s="35" t="s">
        <v>569</v>
      </c>
      <c r="J23" s="14"/>
      <c r="K23" s="14"/>
      <c r="L23" s="14" t="s">
        <v>559</v>
      </c>
      <c r="M23" s="45">
        <v>3</v>
      </c>
      <c r="N23" s="14">
        <v>0.3</v>
      </c>
      <c r="O23" s="14">
        <f t="shared" si="1"/>
        <v>0.3</v>
      </c>
      <c r="P23" s="14">
        <v>0.3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</row>
    <row r="24" ht="20.25" customHeight="1" spans="1:27">
      <c r="A24" s="33">
        <f>24-6</f>
        <v>18</v>
      </c>
      <c r="B24" s="35"/>
      <c r="C24" s="14"/>
      <c r="D24" s="14"/>
      <c r="E24" s="35"/>
      <c r="F24" s="14"/>
      <c r="G24" s="14"/>
      <c r="H24" s="35" t="s">
        <v>570</v>
      </c>
      <c r="I24" s="35" t="s">
        <v>571</v>
      </c>
      <c r="J24" s="14"/>
      <c r="K24" s="14"/>
      <c r="L24" s="14" t="s">
        <v>559</v>
      </c>
      <c r="M24" s="45">
        <v>32</v>
      </c>
      <c r="N24" s="14">
        <v>2</v>
      </c>
      <c r="O24" s="14">
        <f t="shared" si="1"/>
        <v>2</v>
      </c>
      <c r="P24" s="14">
        <v>2</v>
      </c>
      <c r="Q24" s="43"/>
      <c r="R24" s="43"/>
      <c r="S24" s="43"/>
      <c r="T24" s="43"/>
      <c r="U24" s="43">
        <v>0</v>
      </c>
      <c r="V24" s="43"/>
      <c r="W24" s="43"/>
      <c r="X24" s="43"/>
      <c r="Y24" s="43"/>
      <c r="Z24" s="43"/>
      <c r="AA24" s="43"/>
    </row>
    <row r="25" ht="20.25" customHeight="1" spans="1:27">
      <c r="A25" s="33">
        <f>25-6</f>
        <v>19</v>
      </c>
      <c r="B25" s="14"/>
      <c r="C25" s="14"/>
      <c r="D25" s="14"/>
      <c r="E25" s="14"/>
      <c r="F25" s="14"/>
      <c r="G25" s="14" t="s">
        <v>572</v>
      </c>
      <c r="H25" s="14"/>
      <c r="I25" s="14"/>
      <c r="J25" s="14"/>
      <c r="K25" s="14"/>
      <c r="L25" s="14"/>
      <c r="M25" s="45">
        <f t="shared" ref="M25:P25" si="12">SUM(M26)</f>
        <v>2</v>
      </c>
      <c r="N25" s="14">
        <f t="shared" si="12"/>
        <v>1.2</v>
      </c>
      <c r="O25" s="14">
        <f t="shared" si="1"/>
        <v>1.2</v>
      </c>
      <c r="P25" s="14">
        <f t="shared" si="12"/>
        <v>1.2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</row>
    <row r="26" ht="20.25" customHeight="1" spans="1:27">
      <c r="A26" s="33">
        <f>26-6</f>
        <v>20</v>
      </c>
      <c r="B26" s="35"/>
      <c r="C26" s="14"/>
      <c r="D26" s="14"/>
      <c r="E26" s="35"/>
      <c r="F26" s="14"/>
      <c r="G26" s="14"/>
      <c r="H26" s="35" t="s">
        <v>573</v>
      </c>
      <c r="I26" s="35" t="s">
        <v>574</v>
      </c>
      <c r="J26" s="14"/>
      <c r="K26" s="14"/>
      <c r="L26" s="14" t="s">
        <v>559</v>
      </c>
      <c r="M26" s="45">
        <v>2</v>
      </c>
      <c r="N26" s="14">
        <v>1.2</v>
      </c>
      <c r="O26" s="14">
        <f t="shared" si="1"/>
        <v>1.2</v>
      </c>
      <c r="P26" s="14">
        <v>1.2</v>
      </c>
      <c r="Q26" s="43"/>
      <c r="R26" s="43"/>
      <c r="S26" s="43"/>
      <c r="T26" s="43"/>
      <c r="U26" s="43">
        <v>0</v>
      </c>
      <c r="V26" s="43"/>
      <c r="W26" s="43"/>
      <c r="X26" s="43"/>
      <c r="Y26" s="43"/>
      <c r="Z26" s="43"/>
      <c r="AA26" s="43"/>
    </row>
    <row r="27" ht="20.25" customHeight="1" spans="1:27">
      <c r="A27" s="33">
        <f>27-6</f>
        <v>21</v>
      </c>
      <c r="B27" s="14"/>
      <c r="C27" s="14"/>
      <c r="D27" s="14"/>
      <c r="E27" s="14"/>
      <c r="F27" s="14"/>
      <c r="G27" s="14" t="s">
        <v>575</v>
      </c>
      <c r="H27" s="14"/>
      <c r="I27" s="14"/>
      <c r="J27" s="14"/>
      <c r="K27" s="14"/>
      <c r="L27" s="14"/>
      <c r="M27" s="45">
        <f t="shared" ref="M27:P27" si="13">SUM(M28:M29)</f>
        <v>2</v>
      </c>
      <c r="N27" s="14">
        <f t="shared" si="13"/>
        <v>286.29275</v>
      </c>
      <c r="O27" s="14">
        <f t="shared" si="1"/>
        <v>286.29275</v>
      </c>
      <c r="P27" s="14">
        <f t="shared" si="13"/>
        <v>286.29275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</row>
    <row r="28" ht="20.25" customHeight="1" spans="1:27">
      <c r="A28" s="33">
        <f>28-6</f>
        <v>22</v>
      </c>
      <c r="B28" s="35"/>
      <c r="C28" s="14"/>
      <c r="D28" s="14"/>
      <c r="E28" s="35"/>
      <c r="F28" s="14"/>
      <c r="G28" s="14"/>
      <c r="H28" s="35" t="s">
        <v>576</v>
      </c>
      <c r="I28" s="35" t="s">
        <v>577</v>
      </c>
      <c r="J28" s="14"/>
      <c r="K28" s="14"/>
      <c r="L28" s="14" t="s">
        <v>559</v>
      </c>
      <c r="M28" s="45">
        <v>1</v>
      </c>
      <c r="N28" s="14">
        <v>118.5</v>
      </c>
      <c r="O28" s="14">
        <f t="shared" si="1"/>
        <v>118.5</v>
      </c>
      <c r="P28" s="14">
        <v>118.5</v>
      </c>
      <c r="Q28" s="43"/>
      <c r="R28" s="43"/>
      <c r="S28" s="43"/>
      <c r="T28" s="43"/>
      <c r="U28" s="43">
        <v>0</v>
      </c>
      <c r="V28" s="43"/>
      <c r="W28" s="43"/>
      <c r="X28" s="43"/>
      <c r="Y28" s="43"/>
      <c r="Z28" s="43"/>
      <c r="AA28" s="43"/>
    </row>
    <row r="29" ht="20.25" customHeight="1" spans="1:27">
      <c r="A29" s="33">
        <f>29-6</f>
        <v>23</v>
      </c>
      <c r="B29" s="35"/>
      <c r="C29" s="14"/>
      <c r="D29" s="14"/>
      <c r="E29" s="35"/>
      <c r="F29" s="14"/>
      <c r="G29" s="14"/>
      <c r="H29" s="35" t="s">
        <v>578</v>
      </c>
      <c r="I29" s="35" t="s">
        <v>579</v>
      </c>
      <c r="J29" s="14"/>
      <c r="K29" s="14"/>
      <c r="L29" s="14" t="s">
        <v>559</v>
      </c>
      <c r="M29" s="45">
        <v>1</v>
      </c>
      <c r="N29" s="14">
        <v>167.79275</v>
      </c>
      <c r="O29" s="14">
        <f t="shared" si="1"/>
        <v>167.79275</v>
      </c>
      <c r="P29" s="14">
        <v>167.79275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</row>
    <row r="30" ht="20.25" customHeight="1" spans="1:27">
      <c r="A30" s="33">
        <f>30-6</f>
        <v>24</v>
      </c>
      <c r="B30" s="14"/>
      <c r="C30" s="14"/>
      <c r="D30" s="14"/>
      <c r="E30" s="14"/>
      <c r="F30" s="14"/>
      <c r="G30" s="14" t="s">
        <v>580</v>
      </c>
      <c r="H30" s="14"/>
      <c r="I30" s="14"/>
      <c r="J30" s="14"/>
      <c r="K30" s="14"/>
      <c r="L30" s="14"/>
      <c r="M30" s="45">
        <f t="shared" ref="M30:P30" si="14">SUM(M31)</f>
        <v>5000</v>
      </c>
      <c r="N30" s="14">
        <f t="shared" si="14"/>
        <v>5.7</v>
      </c>
      <c r="O30" s="14">
        <f t="shared" si="1"/>
        <v>5.7</v>
      </c>
      <c r="P30" s="14">
        <f t="shared" si="14"/>
        <v>5.7</v>
      </c>
      <c r="Q30" s="43"/>
      <c r="R30" s="43"/>
      <c r="S30" s="43"/>
      <c r="T30" s="43"/>
      <c r="U30" s="43">
        <v>0</v>
      </c>
      <c r="V30" s="43"/>
      <c r="W30" s="43"/>
      <c r="X30" s="43"/>
      <c r="Y30" s="43"/>
      <c r="Z30" s="43"/>
      <c r="AA30" s="43"/>
    </row>
    <row r="31" ht="20.25" customHeight="1" spans="1:27">
      <c r="A31" s="33">
        <f>31-6</f>
        <v>25</v>
      </c>
      <c r="B31" s="35"/>
      <c r="C31" s="14"/>
      <c r="D31" s="14"/>
      <c r="E31" s="35"/>
      <c r="F31" s="14"/>
      <c r="G31" s="14"/>
      <c r="H31" s="35" t="s">
        <v>581</v>
      </c>
      <c r="I31" s="35" t="s">
        <v>582</v>
      </c>
      <c r="J31" s="14"/>
      <c r="K31" s="14"/>
      <c r="L31" s="14" t="s">
        <v>559</v>
      </c>
      <c r="M31" s="45">
        <v>5000</v>
      </c>
      <c r="N31" s="14">
        <v>5.7</v>
      </c>
      <c r="O31" s="14">
        <f t="shared" si="1"/>
        <v>5.7</v>
      </c>
      <c r="P31" s="14">
        <v>5.7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0</v>
      </c>
      <c r="Z31" s="43">
        <v>0</v>
      </c>
      <c r="AA31" s="43">
        <v>0</v>
      </c>
    </row>
    <row r="32" ht="20.25" customHeight="1" spans="1:27">
      <c r="A32" s="33">
        <f>32-6</f>
        <v>26</v>
      </c>
      <c r="B32" s="14"/>
      <c r="C32" s="14"/>
      <c r="D32" s="14"/>
      <c r="E32" s="14"/>
      <c r="F32" s="14"/>
      <c r="G32" s="14" t="s">
        <v>583</v>
      </c>
      <c r="H32" s="14"/>
      <c r="I32" s="14"/>
      <c r="J32" s="14"/>
      <c r="K32" s="14"/>
      <c r="L32" s="14"/>
      <c r="M32" s="45">
        <f t="shared" ref="M32:P32" si="15">SUM(M33:M34)</f>
        <v>2</v>
      </c>
      <c r="N32" s="14">
        <f t="shared" si="15"/>
        <v>427</v>
      </c>
      <c r="O32" s="14">
        <f t="shared" si="1"/>
        <v>427</v>
      </c>
      <c r="P32" s="14">
        <f t="shared" si="15"/>
        <v>427</v>
      </c>
      <c r="Q32" s="43"/>
      <c r="R32" s="43"/>
      <c r="S32" s="43"/>
      <c r="T32" s="43"/>
      <c r="U32" s="43">
        <v>0</v>
      </c>
      <c r="V32" s="43"/>
      <c r="W32" s="43"/>
      <c r="X32" s="43"/>
      <c r="Y32" s="43"/>
      <c r="Z32" s="43"/>
      <c r="AA32" s="43"/>
    </row>
    <row r="33" ht="20.25" customHeight="1" spans="1:27">
      <c r="A33" s="33">
        <f>33-6</f>
        <v>27</v>
      </c>
      <c r="B33" s="35"/>
      <c r="C33" s="14"/>
      <c r="D33" s="14"/>
      <c r="E33" s="35"/>
      <c r="F33" s="14"/>
      <c r="G33" s="14"/>
      <c r="H33" s="35" t="s">
        <v>584</v>
      </c>
      <c r="I33" s="35" t="s">
        <v>585</v>
      </c>
      <c r="J33" s="14"/>
      <c r="K33" s="14"/>
      <c r="L33" s="14" t="s">
        <v>559</v>
      </c>
      <c r="M33" s="45">
        <v>1</v>
      </c>
      <c r="N33" s="14">
        <v>255</v>
      </c>
      <c r="O33" s="14">
        <f t="shared" si="1"/>
        <v>255</v>
      </c>
      <c r="P33" s="14">
        <v>255</v>
      </c>
      <c r="Q33" s="43"/>
      <c r="R33" s="43"/>
      <c r="S33" s="43"/>
      <c r="T33" s="43"/>
      <c r="U33" s="43">
        <v>0</v>
      </c>
      <c r="V33" s="43"/>
      <c r="W33" s="43"/>
      <c r="X33" s="43"/>
      <c r="Y33" s="43"/>
      <c r="Z33" s="43"/>
      <c r="AA33" s="43"/>
    </row>
    <row r="34" ht="20.25" customHeight="1" spans="1:27">
      <c r="A34" s="33">
        <f>34-6</f>
        <v>28</v>
      </c>
      <c r="B34" s="35"/>
      <c r="C34" s="14"/>
      <c r="D34" s="14"/>
      <c r="E34" s="35"/>
      <c r="F34" s="14"/>
      <c r="G34" s="14"/>
      <c r="H34" s="35" t="s">
        <v>586</v>
      </c>
      <c r="I34" s="35" t="s">
        <v>585</v>
      </c>
      <c r="J34" s="14"/>
      <c r="K34" s="14"/>
      <c r="L34" s="14" t="s">
        <v>559</v>
      </c>
      <c r="M34" s="45">
        <v>1</v>
      </c>
      <c r="N34" s="14">
        <v>172</v>
      </c>
      <c r="O34" s="14">
        <f t="shared" si="1"/>
        <v>172</v>
      </c>
      <c r="P34" s="14">
        <v>172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</row>
    <row r="35" ht="20.25" customHeight="1" spans="1:27">
      <c r="A35" s="33">
        <f>35-6</f>
        <v>29</v>
      </c>
      <c r="B35" s="14"/>
      <c r="C35" s="14"/>
      <c r="D35" s="14"/>
      <c r="E35" s="14"/>
      <c r="F35" s="14"/>
      <c r="G35" s="14" t="s">
        <v>587</v>
      </c>
      <c r="H35" s="14"/>
      <c r="I35" s="14"/>
      <c r="J35" s="14"/>
      <c r="K35" s="14"/>
      <c r="L35" s="14"/>
      <c r="M35" s="45">
        <f t="shared" ref="M35:P35" si="16">SUM(M36)</f>
        <v>100</v>
      </c>
      <c r="N35" s="14">
        <f t="shared" si="16"/>
        <v>10.08</v>
      </c>
      <c r="O35" s="14">
        <f t="shared" si="1"/>
        <v>10.08</v>
      </c>
      <c r="P35" s="14">
        <f t="shared" si="16"/>
        <v>10.08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</row>
    <row r="36" ht="20.25" customHeight="1" spans="1:27">
      <c r="A36" s="33">
        <f>36-6</f>
        <v>30</v>
      </c>
      <c r="B36" s="35"/>
      <c r="C36" s="14"/>
      <c r="D36" s="14"/>
      <c r="E36" s="35"/>
      <c r="F36" s="14"/>
      <c r="G36" s="14"/>
      <c r="H36" s="35" t="s">
        <v>588</v>
      </c>
      <c r="I36" s="35" t="s">
        <v>589</v>
      </c>
      <c r="J36" s="14"/>
      <c r="K36" s="14"/>
      <c r="L36" s="14" t="s">
        <v>559</v>
      </c>
      <c r="M36" s="45">
        <v>100</v>
      </c>
      <c r="N36" s="14">
        <v>10.08</v>
      </c>
      <c r="O36" s="14">
        <f t="shared" si="1"/>
        <v>10.08</v>
      </c>
      <c r="P36" s="14">
        <v>10.08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</row>
    <row r="37" ht="20.25" customHeight="1" spans="1:27">
      <c r="A37" s="33">
        <f>37-6</f>
        <v>31</v>
      </c>
      <c r="B37" s="14"/>
      <c r="C37" s="14"/>
      <c r="D37" s="14"/>
      <c r="E37" s="14"/>
      <c r="F37" s="14"/>
      <c r="G37" s="14" t="s">
        <v>590</v>
      </c>
      <c r="H37" s="14"/>
      <c r="I37" s="14"/>
      <c r="J37" s="14"/>
      <c r="K37" s="14"/>
      <c r="L37" s="14"/>
      <c r="M37" s="45">
        <f t="shared" ref="M37:P37" si="17">SUM(M38)</f>
        <v>2</v>
      </c>
      <c r="N37" s="14">
        <f t="shared" si="17"/>
        <v>3.5</v>
      </c>
      <c r="O37" s="14">
        <f t="shared" si="1"/>
        <v>3.5</v>
      </c>
      <c r="P37" s="14">
        <f t="shared" si="17"/>
        <v>3.5</v>
      </c>
      <c r="Q37" s="43"/>
      <c r="R37" s="43"/>
      <c r="S37" s="43"/>
      <c r="T37" s="43"/>
      <c r="U37" s="43">
        <v>0</v>
      </c>
      <c r="V37" s="43"/>
      <c r="W37" s="43"/>
      <c r="X37" s="43"/>
      <c r="Y37" s="43"/>
      <c r="Z37" s="43"/>
      <c r="AA37" s="43"/>
    </row>
    <row r="38" ht="20.25" customHeight="1" spans="1:27">
      <c r="A38" s="33">
        <f>38-6</f>
        <v>32</v>
      </c>
      <c r="B38" s="35"/>
      <c r="C38" s="14"/>
      <c r="D38" s="14"/>
      <c r="E38" s="35"/>
      <c r="F38" s="14"/>
      <c r="G38" s="14"/>
      <c r="H38" s="35" t="s">
        <v>591</v>
      </c>
      <c r="I38" s="35" t="s">
        <v>592</v>
      </c>
      <c r="J38" s="14"/>
      <c r="K38" s="14"/>
      <c r="L38" s="14" t="s">
        <v>559</v>
      </c>
      <c r="M38" s="45">
        <v>2</v>
      </c>
      <c r="N38" s="14">
        <v>3.5</v>
      </c>
      <c r="O38" s="14">
        <f t="shared" si="1"/>
        <v>3.5</v>
      </c>
      <c r="P38" s="14">
        <v>3.5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0</v>
      </c>
      <c r="Y38" s="43">
        <v>0</v>
      </c>
      <c r="Z38" s="43">
        <v>0</v>
      </c>
      <c r="AA38" s="43">
        <v>0</v>
      </c>
    </row>
    <row r="39" ht="20.25" customHeight="1" spans="1:27">
      <c r="A39" s="33">
        <f>39-6</f>
        <v>33</v>
      </c>
      <c r="B39" s="14"/>
      <c r="C39" s="14"/>
      <c r="D39" s="14"/>
      <c r="E39" s="14"/>
      <c r="F39" s="14"/>
      <c r="G39" s="14" t="s">
        <v>593</v>
      </c>
      <c r="H39" s="14"/>
      <c r="I39" s="14"/>
      <c r="J39" s="14"/>
      <c r="K39" s="14"/>
      <c r="L39" s="14"/>
      <c r="M39" s="45">
        <f t="shared" ref="M39:P39" si="18">SUM(M40)</f>
        <v>2</v>
      </c>
      <c r="N39" s="14">
        <f t="shared" si="18"/>
        <v>2</v>
      </c>
      <c r="O39" s="14">
        <f t="shared" si="1"/>
        <v>2</v>
      </c>
      <c r="P39" s="14">
        <f t="shared" si="18"/>
        <v>2</v>
      </c>
      <c r="Q39" s="43"/>
      <c r="R39" s="43"/>
      <c r="S39" s="43"/>
      <c r="T39" s="43"/>
      <c r="U39" s="43">
        <v>0</v>
      </c>
      <c r="V39" s="43"/>
      <c r="W39" s="43"/>
      <c r="X39" s="43"/>
      <c r="Y39" s="43"/>
      <c r="Z39" s="43"/>
      <c r="AA39" s="43"/>
    </row>
    <row r="40" ht="20.25" customHeight="1" spans="1:27">
      <c r="A40" s="33">
        <f>40-6</f>
        <v>34</v>
      </c>
      <c r="B40" s="35"/>
      <c r="C40" s="14"/>
      <c r="D40" s="14"/>
      <c r="E40" s="35"/>
      <c r="F40" s="14"/>
      <c r="G40" s="14"/>
      <c r="H40" s="35" t="s">
        <v>594</v>
      </c>
      <c r="I40" s="35" t="s">
        <v>595</v>
      </c>
      <c r="J40" s="14"/>
      <c r="K40" s="14"/>
      <c r="L40" s="14" t="s">
        <v>559</v>
      </c>
      <c r="M40" s="45">
        <v>2</v>
      </c>
      <c r="N40" s="14">
        <v>2</v>
      </c>
      <c r="O40" s="14">
        <f t="shared" si="1"/>
        <v>2</v>
      </c>
      <c r="P40" s="14">
        <v>2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0</v>
      </c>
      <c r="Y40" s="43">
        <v>0</v>
      </c>
      <c r="Z40" s="43">
        <v>0</v>
      </c>
      <c r="AA40" s="43">
        <v>0</v>
      </c>
    </row>
    <row r="41" ht="20.25" customHeight="1" spans="1:27">
      <c r="A41" s="33">
        <f>41-6</f>
        <v>35</v>
      </c>
      <c r="B41" s="35"/>
      <c r="C41" s="14"/>
      <c r="D41" s="14"/>
      <c r="E41" s="35" t="s">
        <v>74</v>
      </c>
      <c r="F41" s="14"/>
      <c r="G41" s="14"/>
      <c r="H41" s="35"/>
      <c r="I41" s="35"/>
      <c r="J41" s="14"/>
      <c r="K41" s="14"/>
      <c r="L41" s="14"/>
      <c r="M41" s="45">
        <f t="shared" ref="M41:P41" si="19">SUM(M42)</f>
        <v>9</v>
      </c>
      <c r="N41" s="14">
        <f t="shared" si="19"/>
        <v>10.5</v>
      </c>
      <c r="O41" s="14">
        <f t="shared" si="1"/>
        <v>10.5</v>
      </c>
      <c r="P41" s="14">
        <f t="shared" si="19"/>
        <v>10.5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0</v>
      </c>
      <c r="Y41" s="43">
        <v>0</v>
      </c>
      <c r="Z41" s="43">
        <v>0</v>
      </c>
      <c r="AA41" s="43">
        <v>0</v>
      </c>
    </row>
    <row r="42" ht="20.25" customHeight="1" spans="1:27">
      <c r="A42" s="33">
        <f>42-6</f>
        <v>36</v>
      </c>
      <c r="B42" s="14"/>
      <c r="C42" s="14"/>
      <c r="D42" s="14"/>
      <c r="E42" s="14"/>
      <c r="F42" s="14" t="s">
        <v>407</v>
      </c>
      <c r="G42" s="14"/>
      <c r="H42" s="14"/>
      <c r="I42" s="14"/>
      <c r="J42" s="14"/>
      <c r="K42" s="14"/>
      <c r="L42" s="14"/>
      <c r="M42" s="45">
        <f t="shared" ref="M42:P42" si="20">SUM(M43,M45,M47)</f>
        <v>9</v>
      </c>
      <c r="N42" s="14">
        <f t="shared" si="20"/>
        <v>10.5</v>
      </c>
      <c r="O42" s="14">
        <f t="shared" si="1"/>
        <v>10.5</v>
      </c>
      <c r="P42" s="14">
        <f t="shared" si="20"/>
        <v>10.5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0</v>
      </c>
      <c r="Y42" s="43">
        <v>0</v>
      </c>
      <c r="Z42" s="43">
        <v>0</v>
      </c>
      <c r="AA42" s="43">
        <v>0</v>
      </c>
    </row>
    <row r="43" ht="20.25" customHeight="1" spans="1:27">
      <c r="A43" s="33">
        <f>43-6</f>
        <v>37</v>
      </c>
      <c r="B43" s="14"/>
      <c r="C43" s="14"/>
      <c r="D43" s="14"/>
      <c r="E43" s="14"/>
      <c r="F43" s="14"/>
      <c r="G43" s="14" t="s">
        <v>593</v>
      </c>
      <c r="H43" s="14"/>
      <c r="I43" s="14"/>
      <c r="J43" s="14"/>
      <c r="K43" s="14"/>
      <c r="L43" s="14"/>
      <c r="M43" s="45">
        <f t="shared" ref="M43:P43" si="21">SUM(M44)</f>
        <v>3</v>
      </c>
      <c r="N43" s="14">
        <f t="shared" si="21"/>
        <v>0.6</v>
      </c>
      <c r="O43" s="14">
        <f t="shared" si="1"/>
        <v>0.6</v>
      </c>
      <c r="P43" s="14">
        <f t="shared" si="21"/>
        <v>0.6</v>
      </c>
      <c r="Q43" s="43"/>
      <c r="R43" s="43"/>
      <c r="S43" s="43"/>
      <c r="T43" s="43"/>
      <c r="U43" s="43">
        <v>0</v>
      </c>
      <c r="V43" s="43"/>
      <c r="W43" s="43"/>
      <c r="X43" s="43"/>
      <c r="Y43" s="43"/>
      <c r="Z43" s="43"/>
      <c r="AA43" s="43"/>
    </row>
    <row r="44" ht="20.25" customHeight="1" spans="1:27">
      <c r="A44" s="33">
        <f>44-6</f>
        <v>38</v>
      </c>
      <c r="B44" s="35"/>
      <c r="C44" s="14"/>
      <c r="D44" s="14"/>
      <c r="E44" s="35"/>
      <c r="F44" s="14"/>
      <c r="G44" s="14"/>
      <c r="H44" s="35" t="s">
        <v>594</v>
      </c>
      <c r="I44" s="35" t="s">
        <v>595</v>
      </c>
      <c r="J44" s="14"/>
      <c r="K44" s="14"/>
      <c r="L44" s="14" t="s">
        <v>559</v>
      </c>
      <c r="M44" s="45">
        <v>3</v>
      </c>
      <c r="N44" s="14">
        <v>0.6</v>
      </c>
      <c r="O44" s="14">
        <f t="shared" si="1"/>
        <v>0.6</v>
      </c>
      <c r="P44" s="14">
        <v>0.6</v>
      </c>
      <c r="Q44" s="43"/>
      <c r="R44" s="43"/>
      <c r="S44" s="43"/>
      <c r="T44" s="43"/>
      <c r="U44" s="43">
        <v>0</v>
      </c>
      <c r="V44" s="43"/>
      <c r="W44" s="43"/>
      <c r="X44" s="43"/>
      <c r="Y44" s="43"/>
      <c r="Z44" s="43"/>
      <c r="AA44" s="43"/>
    </row>
    <row r="45" ht="20.25" customHeight="1" spans="1:27">
      <c r="A45" s="33">
        <f>45-6</f>
        <v>39</v>
      </c>
      <c r="B45" s="14"/>
      <c r="C45" s="14"/>
      <c r="D45" s="14"/>
      <c r="E45" s="14"/>
      <c r="F45" s="14"/>
      <c r="G45" s="14" t="s">
        <v>572</v>
      </c>
      <c r="H45" s="14"/>
      <c r="I45" s="14"/>
      <c r="J45" s="14"/>
      <c r="K45" s="14"/>
      <c r="L45" s="14"/>
      <c r="M45" s="45">
        <f t="shared" ref="M45:P45" si="22">SUM(M46)</f>
        <v>3</v>
      </c>
      <c r="N45" s="14">
        <f t="shared" si="22"/>
        <v>2.4</v>
      </c>
      <c r="O45" s="14">
        <f t="shared" si="1"/>
        <v>2.4</v>
      </c>
      <c r="P45" s="14">
        <f t="shared" si="22"/>
        <v>2.4</v>
      </c>
      <c r="Q45" s="43"/>
      <c r="R45" s="43"/>
      <c r="S45" s="43"/>
      <c r="T45" s="43"/>
      <c r="U45" s="43">
        <v>0</v>
      </c>
      <c r="V45" s="43"/>
      <c r="W45" s="43"/>
      <c r="X45" s="43"/>
      <c r="Y45" s="43"/>
      <c r="Z45" s="43"/>
      <c r="AA45" s="43"/>
    </row>
    <row r="46" ht="20.25" customHeight="1" spans="1:27">
      <c r="A46" s="33">
        <f>46-6</f>
        <v>40</v>
      </c>
      <c r="B46" s="35"/>
      <c r="C46" s="14"/>
      <c r="D46" s="14"/>
      <c r="E46" s="35"/>
      <c r="F46" s="14"/>
      <c r="G46" s="14"/>
      <c r="H46" s="35" t="s">
        <v>573</v>
      </c>
      <c r="I46" s="35" t="s">
        <v>574</v>
      </c>
      <c r="J46" s="14"/>
      <c r="K46" s="14"/>
      <c r="L46" s="14" t="s">
        <v>559</v>
      </c>
      <c r="M46" s="45">
        <v>3</v>
      </c>
      <c r="N46" s="14">
        <v>2.4</v>
      </c>
      <c r="O46" s="14">
        <f t="shared" si="1"/>
        <v>2.4</v>
      </c>
      <c r="P46" s="14">
        <v>2.4</v>
      </c>
      <c r="Q46" s="43"/>
      <c r="R46" s="43"/>
      <c r="S46" s="43"/>
      <c r="T46" s="43"/>
      <c r="U46" s="43">
        <v>0</v>
      </c>
      <c r="V46" s="43"/>
      <c r="W46" s="43"/>
      <c r="X46" s="43"/>
      <c r="Y46" s="43"/>
      <c r="Z46" s="43"/>
      <c r="AA46" s="43"/>
    </row>
    <row r="47" ht="20.25" customHeight="1" spans="1:27">
      <c r="A47" s="33">
        <f>47-6</f>
        <v>41</v>
      </c>
      <c r="B47" s="14"/>
      <c r="C47" s="14"/>
      <c r="D47" s="14"/>
      <c r="E47" s="14"/>
      <c r="F47" s="14"/>
      <c r="G47" s="14" t="s">
        <v>590</v>
      </c>
      <c r="H47" s="14"/>
      <c r="I47" s="14"/>
      <c r="J47" s="14"/>
      <c r="K47" s="14"/>
      <c r="L47" s="14"/>
      <c r="M47" s="45">
        <f t="shared" ref="M47:P47" si="23">SUM(M48)</f>
        <v>3</v>
      </c>
      <c r="N47" s="14">
        <f t="shared" si="23"/>
        <v>7.5</v>
      </c>
      <c r="O47" s="14">
        <f t="shared" si="1"/>
        <v>7.5</v>
      </c>
      <c r="P47" s="14">
        <f t="shared" si="23"/>
        <v>7.5</v>
      </c>
      <c r="Q47" s="43"/>
      <c r="R47" s="43"/>
      <c r="S47" s="43"/>
      <c r="T47" s="43"/>
      <c r="U47" s="43">
        <v>0</v>
      </c>
      <c r="V47" s="43"/>
      <c r="W47" s="43"/>
      <c r="X47" s="43"/>
      <c r="Y47" s="43"/>
      <c r="Z47" s="43"/>
      <c r="AA47" s="43"/>
    </row>
    <row r="48" ht="20.25" customHeight="1" spans="1:27">
      <c r="A48" s="33">
        <f>48-6</f>
        <v>42</v>
      </c>
      <c r="B48" s="35"/>
      <c r="C48" s="14"/>
      <c r="D48" s="14"/>
      <c r="E48" s="35"/>
      <c r="F48" s="14"/>
      <c r="G48" s="14"/>
      <c r="H48" s="35" t="s">
        <v>591</v>
      </c>
      <c r="I48" s="35" t="s">
        <v>592</v>
      </c>
      <c r="J48" s="14"/>
      <c r="K48" s="14"/>
      <c r="L48" s="14" t="s">
        <v>559</v>
      </c>
      <c r="M48" s="45">
        <v>3</v>
      </c>
      <c r="N48" s="14">
        <v>7.5</v>
      </c>
      <c r="O48" s="14">
        <f t="shared" si="1"/>
        <v>7.5</v>
      </c>
      <c r="P48" s="14">
        <v>7.5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0</v>
      </c>
      <c r="Y48" s="43">
        <v>0</v>
      </c>
      <c r="Z48" s="43">
        <v>0</v>
      </c>
      <c r="AA48" s="43">
        <v>0</v>
      </c>
    </row>
    <row r="49" ht="20.25" customHeight="1" spans="1:27">
      <c r="A49" s="33">
        <f>49-6</f>
        <v>43</v>
      </c>
      <c r="B49" s="35"/>
      <c r="C49" s="14"/>
      <c r="D49" s="14"/>
      <c r="E49" s="35" t="s">
        <v>75</v>
      </c>
      <c r="F49" s="14"/>
      <c r="G49" s="14"/>
      <c r="H49" s="35"/>
      <c r="I49" s="35"/>
      <c r="J49" s="14"/>
      <c r="K49" s="14"/>
      <c r="L49" s="14"/>
      <c r="M49" s="45">
        <f t="shared" ref="M49:P49" si="24">SUM(M50,M56)</f>
        <v>10</v>
      </c>
      <c r="N49" s="14">
        <f t="shared" si="24"/>
        <v>1173.76</v>
      </c>
      <c r="O49" s="14">
        <f t="shared" si="1"/>
        <v>1173.76</v>
      </c>
      <c r="P49" s="14">
        <f t="shared" si="24"/>
        <v>1173.76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3">
        <v>0</v>
      </c>
      <c r="X49" s="43">
        <v>0</v>
      </c>
      <c r="Y49" s="43">
        <v>0</v>
      </c>
      <c r="Z49" s="43">
        <v>0</v>
      </c>
      <c r="AA49" s="43">
        <v>0</v>
      </c>
    </row>
    <row r="50" ht="20.25" customHeight="1" spans="1:27">
      <c r="A50" s="33">
        <f>50-6</f>
        <v>44</v>
      </c>
      <c r="B50" s="14"/>
      <c r="C50" s="14"/>
      <c r="D50" s="14"/>
      <c r="E50" s="14"/>
      <c r="F50" s="14" t="s">
        <v>344</v>
      </c>
      <c r="G50" s="14"/>
      <c r="H50" s="14"/>
      <c r="I50" s="14"/>
      <c r="J50" s="14"/>
      <c r="K50" s="14"/>
      <c r="L50" s="14"/>
      <c r="M50" s="45">
        <f t="shared" ref="M50:P50" si="25">SUM(M51)</f>
        <v>5</v>
      </c>
      <c r="N50" s="14">
        <f t="shared" si="25"/>
        <v>74</v>
      </c>
      <c r="O50" s="14">
        <f t="shared" si="1"/>
        <v>74</v>
      </c>
      <c r="P50" s="14">
        <f t="shared" si="25"/>
        <v>74</v>
      </c>
      <c r="Q50" s="43"/>
      <c r="R50" s="43"/>
      <c r="S50" s="43"/>
      <c r="T50" s="43"/>
      <c r="U50" s="43">
        <v>0</v>
      </c>
      <c r="V50" s="43"/>
      <c r="W50" s="43"/>
      <c r="X50" s="43"/>
      <c r="Y50" s="43"/>
      <c r="Z50" s="43"/>
      <c r="AA50" s="43"/>
    </row>
    <row r="51" ht="20.25" customHeight="1" spans="1:27">
      <c r="A51" s="33">
        <f>51-6</f>
        <v>45</v>
      </c>
      <c r="B51" s="14"/>
      <c r="C51" s="14"/>
      <c r="D51" s="14"/>
      <c r="E51" s="14"/>
      <c r="F51" s="14"/>
      <c r="G51" s="14" t="s">
        <v>345</v>
      </c>
      <c r="H51" s="14"/>
      <c r="I51" s="14"/>
      <c r="J51" s="14"/>
      <c r="K51" s="14"/>
      <c r="L51" s="14"/>
      <c r="M51" s="45">
        <f t="shared" ref="M51:P51" si="26">SUM(M52:M55)</f>
        <v>5</v>
      </c>
      <c r="N51" s="14">
        <f t="shared" si="26"/>
        <v>74</v>
      </c>
      <c r="O51" s="14">
        <f t="shared" si="1"/>
        <v>74</v>
      </c>
      <c r="P51" s="14">
        <f t="shared" si="26"/>
        <v>74</v>
      </c>
      <c r="Q51" s="43"/>
      <c r="R51" s="43"/>
      <c r="S51" s="43"/>
      <c r="T51" s="43"/>
      <c r="U51" s="43">
        <v>0</v>
      </c>
      <c r="V51" s="43"/>
      <c r="W51" s="43"/>
      <c r="X51" s="43"/>
      <c r="Y51" s="43"/>
      <c r="Z51" s="43"/>
      <c r="AA51" s="43"/>
    </row>
    <row r="52" ht="20.25" customHeight="1" spans="1:27">
      <c r="A52" s="33">
        <f>52-6</f>
        <v>46</v>
      </c>
      <c r="B52" s="35"/>
      <c r="C52" s="14"/>
      <c r="D52" s="14"/>
      <c r="E52" s="35"/>
      <c r="F52" s="14"/>
      <c r="G52" s="14"/>
      <c r="H52" s="35" t="s">
        <v>349</v>
      </c>
      <c r="I52" s="35" t="s">
        <v>596</v>
      </c>
      <c r="J52" s="14"/>
      <c r="K52" s="14"/>
      <c r="L52" s="14" t="s">
        <v>559</v>
      </c>
      <c r="M52" s="45">
        <v>2</v>
      </c>
      <c r="N52" s="14">
        <v>4</v>
      </c>
      <c r="O52" s="14">
        <f t="shared" si="1"/>
        <v>4</v>
      </c>
      <c r="P52" s="14">
        <v>4</v>
      </c>
      <c r="Q52" s="43"/>
      <c r="R52" s="43"/>
      <c r="S52" s="43"/>
      <c r="T52" s="43"/>
      <c r="U52" s="43">
        <v>0</v>
      </c>
      <c r="V52" s="43"/>
      <c r="W52" s="43"/>
      <c r="X52" s="43"/>
      <c r="Y52" s="43"/>
      <c r="Z52" s="43"/>
      <c r="AA52" s="43"/>
    </row>
    <row r="53" ht="20.25" customHeight="1" spans="1:27">
      <c r="A53" s="33">
        <f>53-6</f>
        <v>47</v>
      </c>
      <c r="B53" s="35"/>
      <c r="C53" s="14"/>
      <c r="D53" s="14"/>
      <c r="E53" s="35"/>
      <c r="F53" s="14"/>
      <c r="G53" s="14"/>
      <c r="H53" s="35" t="s">
        <v>346</v>
      </c>
      <c r="I53" s="35" t="s">
        <v>597</v>
      </c>
      <c r="J53" s="14"/>
      <c r="K53" s="14"/>
      <c r="L53" s="14" t="s">
        <v>559</v>
      </c>
      <c r="M53" s="45">
        <v>1</v>
      </c>
      <c r="N53" s="14">
        <v>20</v>
      </c>
      <c r="O53" s="14">
        <f t="shared" si="1"/>
        <v>20</v>
      </c>
      <c r="P53" s="14">
        <v>20</v>
      </c>
      <c r="Q53" s="43"/>
      <c r="R53" s="43"/>
      <c r="S53" s="43"/>
      <c r="T53" s="43"/>
      <c r="U53" s="43">
        <v>0</v>
      </c>
      <c r="V53" s="43"/>
      <c r="W53" s="43"/>
      <c r="X53" s="43"/>
      <c r="Y53" s="43"/>
      <c r="Z53" s="43"/>
      <c r="AA53" s="43"/>
    </row>
    <row r="54" ht="20.25" customHeight="1" spans="1:27">
      <c r="A54" s="33">
        <f>54-6</f>
        <v>48</v>
      </c>
      <c r="B54" s="35"/>
      <c r="C54" s="14"/>
      <c r="D54" s="14"/>
      <c r="E54" s="35"/>
      <c r="F54" s="14"/>
      <c r="G54" s="14"/>
      <c r="H54" s="35" t="s">
        <v>350</v>
      </c>
      <c r="I54" s="35" t="s">
        <v>598</v>
      </c>
      <c r="J54" s="14"/>
      <c r="K54" s="14"/>
      <c r="L54" s="14" t="s">
        <v>559</v>
      </c>
      <c r="M54" s="45">
        <v>1</v>
      </c>
      <c r="N54" s="14">
        <v>35</v>
      </c>
      <c r="O54" s="14">
        <f t="shared" si="1"/>
        <v>35</v>
      </c>
      <c r="P54" s="14">
        <v>35</v>
      </c>
      <c r="Q54" s="49"/>
      <c r="R54" s="49"/>
      <c r="S54" s="49"/>
      <c r="T54" s="49"/>
      <c r="U54" s="49">
        <v>0</v>
      </c>
      <c r="V54" s="49"/>
      <c r="W54" s="49"/>
      <c r="X54" s="49"/>
      <c r="Y54" s="49"/>
      <c r="Z54" s="49"/>
      <c r="AA54" s="49"/>
    </row>
    <row r="55" ht="20.25" customHeight="1" spans="1:27">
      <c r="A55" s="33">
        <f>55-6</f>
        <v>49</v>
      </c>
      <c r="B55" s="35"/>
      <c r="C55" s="14"/>
      <c r="D55" s="14"/>
      <c r="E55" s="35"/>
      <c r="F55" s="14"/>
      <c r="G55" s="14"/>
      <c r="H55" s="35" t="s">
        <v>351</v>
      </c>
      <c r="I55" s="35" t="s">
        <v>596</v>
      </c>
      <c r="J55" s="14"/>
      <c r="K55" s="14"/>
      <c r="L55" s="14" t="s">
        <v>559</v>
      </c>
      <c r="M55" s="45">
        <v>1</v>
      </c>
      <c r="N55" s="14">
        <v>15</v>
      </c>
      <c r="O55" s="14">
        <f t="shared" si="1"/>
        <v>15</v>
      </c>
      <c r="P55" s="14">
        <v>15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</row>
    <row r="56" ht="20.25" customHeight="1" spans="1:27">
      <c r="A56" s="33">
        <f>56-6</f>
        <v>50</v>
      </c>
      <c r="B56" s="14"/>
      <c r="C56" s="14"/>
      <c r="D56" s="14"/>
      <c r="E56" s="14"/>
      <c r="F56" s="14" t="s">
        <v>376</v>
      </c>
      <c r="G56" s="14"/>
      <c r="H56" s="14"/>
      <c r="I56" s="14"/>
      <c r="J56" s="14"/>
      <c r="K56" s="14"/>
      <c r="L56" s="14"/>
      <c r="M56" s="45">
        <f t="shared" ref="M56:P56" si="27">SUM(M57)</f>
        <v>5</v>
      </c>
      <c r="N56" s="14">
        <f t="shared" si="27"/>
        <v>1099.76</v>
      </c>
      <c r="O56" s="14">
        <f t="shared" si="1"/>
        <v>1099.76</v>
      </c>
      <c r="P56" s="14">
        <f t="shared" si="27"/>
        <v>1099.76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</row>
    <row r="57" ht="20.25" customHeight="1" spans="1:27">
      <c r="A57" s="33">
        <f>57-6</f>
        <v>51</v>
      </c>
      <c r="B57" s="14"/>
      <c r="C57" s="14"/>
      <c r="D57" s="14"/>
      <c r="E57" s="14"/>
      <c r="F57" s="14"/>
      <c r="G57" s="14" t="s">
        <v>377</v>
      </c>
      <c r="H57" s="14"/>
      <c r="I57" s="14"/>
      <c r="J57" s="14"/>
      <c r="K57" s="14"/>
      <c r="L57" s="14"/>
      <c r="M57" s="45">
        <f t="shared" ref="M57:P57" si="28">SUM(M58:M62)</f>
        <v>5</v>
      </c>
      <c r="N57" s="14">
        <f t="shared" si="28"/>
        <v>1099.76</v>
      </c>
      <c r="O57" s="14">
        <f t="shared" si="1"/>
        <v>1099.76</v>
      </c>
      <c r="P57" s="14">
        <f t="shared" si="28"/>
        <v>1099.76</v>
      </c>
      <c r="Q57" s="50"/>
      <c r="R57" s="50"/>
      <c r="S57" s="50"/>
      <c r="T57" s="50"/>
      <c r="U57" s="50">
        <v>0</v>
      </c>
      <c r="V57" s="50"/>
      <c r="W57" s="50"/>
      <c r="X57" s="50"/>
      <c r="Y57" s="50"/>
      <c r="Z57" s="50"/>
      <c r="AA57" s="50"/>
    </row>
    <row r="58" s="17" customFormat="1" ht="20.25" customHeight="1" spans="1:27">
      <c r="A58" s="33">
        <f>58-6</f>
        <v>52</v>
      </c>
      <c r="B58" s="35"/>
      <c r="C58" s="14"/>
      <c r="D58" s="14"/>
      <c r="E58" s="35"/>
      <c r="F58" s="14"/>
      <c r="G58" s="14"/>
      <c r="H58" s="35" t="s">
        <v>378</v>
      </c>
      <c r="I58" s="35" t="s">
        <v>599</v>
      </c>
      <c r="J58" s="14"/>
      <c r="K58" s="14"/>
      <c r="L58" s="14" t="s">
        <v>559</v>
      </c>
      <c r="M58" s="45">
        <v>1</v>
      </c>
      <c r="N58" s="14">
        <v>202</v>
      </c>
      <c r="O58" s="14">
        <f t="shared" si="1"/>
        <v>202</v>
      </c>
      <c r="P58" s="14">
        <v>202</v>
      </c>
      <c r="Q58" s="51"/>
      <c r="R58" s="52"/>
      <c r="S58" s="52"/>
      <c r="T58" s="52"/>
      <c r="U58" s="53"/>
      <c r="V58" s="52"/>
      <c r="W58" s="52"/>
      <c r="X58" s="52"/>
      <c r="Y58" s="52"/>
      <c r="Z58" s="52"/>
      <c r="AA58" s="52"/>
    </row>
    <row r="59" s="17" customFormat="1" ht="20.25" customHeight="1" spans="1:27">
      <c r="A59" s="33">
        <f>59-6</f>
        <v>53</v>
      </c>
      <c r="B59" s="35"/>
      <c r="C59" s="14"/>
      <c r="D59" s="14"/>
      <c r="E59" s="35"/>
      <c r="F59" s="14"/>
      <c r="G59" s="14"/>
      <c r="H59" s="35" t="s">
        <v>384</v>
      </c>
      <c r="I59" s="35" t="s">
        <v>599</v>
      </c>
      <c r="J59" s="14"/>
      <c r="K59" s="14"/>
      <c r="L59" s="14" t="s">
        <v>559</v>
      </c>
      <c r="M59" s="45">
        <v>1</v>
      </c>
      <c r="N59" s="14">
        <v>77.25</v>
      </c>
      <c r="O59" s="14">
        <f t="shared" si="1"/>
        <v>77.25</v>
      </c>
      <c r="P59" s="14">
        <v>77.25</v>
      </c>
      <c r="Q59" s="54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="17" customFormat="1" ht="20.25" customHeight="1" spans="1:27">
      <c r="A60" s="33">
        <f>60-6</f>
        <v>54</v>
      </c>
      <c r="B60" s="35"/>
      <c r="C60" s="14"/>
      <c r="D60" s="14"/>
      <c r="E60" s="35"/>
      <c r="F60" s="14"/>
      <c r="G60" s="14"/>
      <c r="H60" s="35" t="s">
        <v>380</v>
      </c>
      <c r="I60" s="35" t="s">
        <v>599</v>
      </c>
      <c r="J60" s="14"/>
      <c r="K60" s="14"/>
      <c r="L60" s="14" t="s">
        <v>559</v>
      </c>
      <c r="M60" s="45">
        <v>1</v>
      </c>
      <c r="N60" s="14">
        <v>331.2</v>
      </c>
      <c r="O60" s="14">
        <f t="shared" si="1"/>
        <v>331.2</v>
      </c>
      <c r="P60" s="14">
        <v>331.2</v>
      </c>
      <c r="Q60" s="54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="17" customFormat="1" ht="20.25" customHeight="1" spans="1:27">
      <c r="A61" s="33">
        <f>61-6</f>
        <v>55</v>
      </c>
      <c r="B61" s="35"/>
      <c r="C61" s="14"/>
      <c r="D61" s="14"/>
      <c r="E61" s="35"/>
      <c r="F61" s="14"/>
      <c r="G61" s="14"/>
      <c r="H61" s="35" t="s">
        <v>382</v>
      </c>
      <c r="I61" s="35" t="s">
        <v>599</v>
      </c>
      <c r="J61" s="14"/>
      <c r="K61" s="14"/>
      <c r="L61" s="14" t="s">
        <v>559</v>
      </c>
      <c r="M61" s="45">
        <v>1</v>
      </c>
      <c r="N61" s="14">
        <v>302.11</v>
      </c>
      <c r="O61" s="14">
        <f t="shared" si="1"/>
        <v>302.11</v>
      </c>
      <c r="P61" s="14">
        <v>302.11</v>
      </c>
      <c r="Q61" s="54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="17" customFormat="1" ht="20.25" customHeight="1" spans="1:27">
      <c r="A62" s="33">
        <f>62-6</f>
        <v>56</v>
      </c>
      <c r="B62" s="35"/>
      <c r="C62" s="14"/>
      <c r="D62" s="14"/>
      <c r="E62" s="35"/>
      <c r="F62" s="14"/>
      <c r="G62" s="14"/>
      <c r="H62" s="35" t="s">
        <v>379</v>
      </c>
      <c r="I62" s="35" t="s">
        <v>599</v>
      </c>
      <c r="J62" s="14"/>
      <c r="K62" s="14"/>
      <c r="L62" s="14" t="s">
        <v>559</v>
      </c>
      <c r="M62" s="45">
        <v>1</v>
      </c>
      <c r="N62" s="14">
        <v>187.2</v>
      </c>
      <c r="O62" s="14">
        <f t="shared" si="1"/>
        <v>187.2</v>
      </c>
      <c r="P62" s="14">
        <v>187.2</v>
      </c>
      <c r="Q62" s="54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="17" customFormat="1" ht="20.25" customHeight="1" spans="1:27">
      <c r="A63" s="33">
        <f>63-6</f>
        <v>57</v>
      </c>
      <c r="B63" s="35"/>
      <c r="C63" s="14" t="s">
        <v>146</v>
      </c>
      <c r="D63" s="14"/>
      <c r="E63" s="35"/>
      <c r="F63" s="14"/>
      <c r="G63" s="14"/>
      <c r="H63" s="35"/>
      <c r="I63" s="35"/>
      <c r="J63" s="14"/>
      <c r="K63" s="14"/>
      <c r="L63" s="14"/>
      <c r="M63" s="45">
        <f t="shared" ref="M63:P63" si="29">SUM(M64)</f>
        <v>16</v>
      </c>
      <c r="N63" s="14">
        <f t="shared" si="29"/>
        <v>5.6</v>
      </c>
      <c r="O63" s="14">
        <f t="shared" si="1"/>
        <v>5.6</v>
      </c>
      <c r="P63" s="14">
        <f t="shared" si="29"/>
        <v>5.6</v>
      </c>
      <c r="Q63" s="54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="17" customFormat="1" ht="20.25" customHeight="1" spans="1:27">
      <c r="A64" s="33">
        <f>64-6</f>
        <v>58</v>
      </c>
      <c r="B64" s="35"/>
      <c r="C64" s="14"/>
      <c r="D64" s="14" t="s">
        <v>539</v>
      </c>
      <c r="E64" s="35"/>
      <c r="F64" s="14"/>
      <c r="G64" s="14"/>
      <c r="H64" s="35"/>
      <c r="I64" s="35"/>
      <c r="J64" s="14"/>
      <c r="K64" s="14"/>
      <c r="L64" s="14"/>
      <c r="M64" s="45">
        <f t="shared" ref="M64:P64" si="30">SUM(M65)</f>
        <v>16</v>
      </c>
      <c r="N64" s="14">
        <f t="shared" si="30"/>
        <v>5.6</v>
      </c>
      <c r="O64" s="14">
        <f t="shared" si="1"/>
        <v>5.6</v>
      </c>
      <c r="P64" s="14">
        <f t="shared" si="30"/>
        <v>5.6</v>
      </c>
      <c r="Q64" s="54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="17" customFormat="1" ht="20.25" customHeight="1" spans="1:27">
      <c r="A65" s="33">
        <f>65-6</f>
        <v>59</v>
      </c>
      <c r="B65" s="35"/>
      <c r="C65" s="14"/>
      <c r="D65" s="14"/>
      <c r="E65" s="35" t="s">
        <v>79</v>
      </c>
      <c r="F65" s="14"/>
      <c r="G65" s="14"/>
      <c r="H65" s="35"/>
      <c r="I65" s="35"/>
      <c r="J65" s="14"/>
      <c r="K65" s="14"/>
      <c r="L65" s="14"/>
      <c r="M65" s="45">
        <f t="shared" ref="M65:P65" si="31">SUM(M66)</f>
        <v>16</v>
      </c>
      <c r="N65" s="14">
        <f t="shared" si="31"/>
        <v>5.6</v>
      </c>
      <c r="O65" s="14">
        <f t="shared" si="1"/>
        <v>5.6</v>
      </c>
      <c r="P65" s="14">
        <f t="shared" si="31"/>
        <v>5.6</v>
      </c>
      <c r="Q65" s="54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="17" customFormat="1" ht="20.25" customHeight="1" spans="1:27">
      <c r="A66" s="33">
        <f>66-6</f>
        <v>60</v>
      </c>
      <c r="B66" s="14"/>
      <c r="C66" s="14"/>
      <c r="D66" s="14"/>
      <c r="E66" s="14"/>
      <c r="F66" s="14" t="s">
        <v>508</v>
      </c>
      <c r="G66" s="14"/>
      <c r="H66" s="14"/>
      <c r="I66" s="14"/>
      <c r="J66" s="14"/>
      <c r="K66" s="14"/>
      <c r="L66" s="14"/>
      <c r="M66" s="45">
        <f t="shared" ref="M66:P66" si="32">SUM(M67)</f>
        <v>16</v>
      </c>
      <c r="N66" s="14">
        <f t="shared" si="32"/>
        <v>5.6</v>
      </c>
      <c r="O66" s="14">
        <f t="shared" si="1"/>
        <v>5.6</v>
      </c>
      <c r="P66" s="14">
        <f t="shared" si="32"/>
        <v>5.6</v>
      </c>
      <c r="Q66" s="54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="17" customFormat="1" ht="20.25" customHeight="1" spans="1:27">
      <c r="A67" s="33">
        <f>67-6</f>
        <v>61</v>
      </c>
      <c r="B67" s="14"/>
      <c r="C67" s="14"/>
      <c r="D67" s="14"/>
      <c r="E67" s="14"/>
      <c r="F67" s="14"/>
      <c r="G67" s="14" t="s">
        <v>540</v>
      </c>
      <c r="H67" s="14"/>
      <c r="I67" s="14"/>
      <c r="J67" s="14"/>
      <c r="K67" s="14"/>
      <c r="L67" s="14"/>
      <c r="M67" s="45">
        <f t="shared" ref="M67:P67" si="33">SUM(M68:M72)</f>
        <v>16</v>
      </c>
      <c r="N67" s="14">
        <f t="shared" si="33"/>
        <v>5.6</v>
      </c>
      <c r="O67" s="14">
        <f t="shared" si="1"/>
        <v>5.6</v>
      </c>
      <c r="P67" s="14">
        <f t="shared" si="33"/>
        <v>5.6</v>
      </c>
      <c r="Q67" s="54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="17" customFormat="1" ht="20.25" customHeight="1" spans="1:27">
      <c r="A68" s="33">
        <f>68-6</f>
        <v>62</v>
      </c>
      <c r="B68" s="35"/>
      <c r="C68" s="14"/>
      <c r="D68" s="14"/>
      <c r="E68" s="35"/>
      <c r="F68" s="14"/>
      <c r="G68" s="14"/>
      <c r="H68" s="35" t="s">
        <v>544</v>
      </c>
      <c r="I68" s="35" t="s">
        <v>563</v>
      </c>
      <c r="J68" s="14"/>
      <c r="K68" s="14"/>
      <c r="L68" s="14" t="s">
        <v>600</v>
      </c>
      <c r="M68" s="45">
        <v>2</v>
      </c>
      <c r="N68" s="14">
        <v>0.5</v>
      </c>
      <c r="O68" s="14">
        <f t="shared" si="1"/>
        <v>0.5</v>
      </c>
      <c r="P68" s="14">
        <v>0.5</v>
      </c>
      <c r="Q68" s="54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="17" customFormat="1" ht="20.25" customHeight="1" spans="1:27">
      <c r="A69" s="33">
        <f>69-6</f>
        <v>63</v>
      </c>
      <c r="B69" s="35"/>
      <c r="C69" s="14"/>
      <c r="D69" s="14"/>
      <c r="E69" s="35"/>
      <c r="F69" s="14"/>
      <c r="G69" s="14"/>
      <c r="H69" s="35" t="s">
        <v>543</v>
      </c>
      <c r="I69" s="35" t="s">
        <v>601</v>
      </c>
      <c r="J69" s="14"/>
      <c r="K69" s="14"/>
      <c r="L69" s="14" t="s">
        <v>600</v>
      </c>
      <c r="M69" s="45">
        <v>4</v>
      </c>
      <c r="N69" s="14">
        <v>0.8</v>
      </c>
      <c r="O69" s="14">
        <f t="shared" si="1"/>
        <v>0.8</v>
      </c>
      <c r="P69" s="14">
        <v>0.8</v>
      </c>
      <c r="Q69" s="54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="17" customFormat="1" ht="20.25" customHeight="1" spans="1:27">
      <c r="A70" s="33">
        <f>70-6</f>
        <v>64</v>
      </c>
      <c r="B70" s="35"/>
      <c r="C70" s="14"/>
      <c r="D70" s="14"/>
      <c r="E70" s="35"/>
      <c r="F70" s="14"/>
      <c r="G70" s="14"/>
      <c r="H70" s="35" t="s">
        <v>545</v>
      </c>
      <c r="I70" s="35" t="s">
        <v>567</v>
      </c>
      <c r="J70" s="14"/>
      <c r="K70" s="14"/>
      <c r="L70" s="14" t="s">
        <v>600</v>
      </c>
      <c r="M70" s="45">
        <v>2</v>
      </c>
      <c r="N70" s="14">
        <v>1.5</v>
      </c>
      <c r="O70" s="14">
        <f t="shared" si="1"/>
        <v>1.5</v>
      </c>
      <c r="P70" s="14">
        <v>1.5</v>
      </c>
      <c r="Q70" s="54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="17" customFormat="1" ht="20.25" customHeight="1" spans="1:27">
      <c r="A71" s="33">
        <f>71-6</f>
        <v>65</v>
      </c>
      <c r="B71" s="35"/>
      <c r="C71" s="14"/>
      <c r="D71" s="14"/>
      <c r="E71" s="35"/>
      <c r="F71" s="14"/>
      <c r="G71" s="14"/>
      <c r="H71" s="35" t="s">
        <v>541</v>
      </c>
      <c r="I71" s="35" t="s">
        <v>602</v>
      </c>
      <c r="J71" s="14"/>
      <c r="K71" s="14"/>
      <c r="L71" s="14" t="s">
        <v>600</v>
      </c>
      <c r="M71" s="45">
        <v>4</v>
      </c>
      <c r="N71" s="14">
        <v>2</v>
      </c>
      <c r="O71" s="14">
        <f>SUM(P71,Q71,R71)</f>
        <v>2</v>
      </c>
      <c r="P71" s="14">
        <v>2</v>
      </c>
      <c r="Q71" s="54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:27">
      <c r="A72" s="33">
        <f>72-6</f>
        <v>66</v>
      </c>
      <c r="B72" s="35"/>
      <c r="C72" s="14"/>
      <c r="D72" s="14"/>
      <c r="E72" s="35"/>
      <c r="F72" s="14"/>
      <c r="G72" s="14"/>
      <c r="H72" s="35" t="s">
        <v>542</v>
      </c>
      <c r="I72" s="35" t="s">
        <v>571</v>
      </c>
      <c r="J72" s="14"/>
      <c r="K72" s="14"/>
      <c r="L72" s="14" t="s">
        <v>600</v>
      </c>
      <c r="M72" s="45">
        <v>4</v>
      </c>
      <c r="N72" s="14">
        <v>0.8</v>
      </c>
      <c r="O72" s="14">
        <f>SUM(P72,Q72,R72)</f>
        <v>0.8</v>
      </c>
      <c r="P72" s="14">
        <v>0.8</v>
      </c>
      <c r="Q72" s="55"/>
      <c r="R72" s="56"/>
      <c r="S72" s="56"/>
      <c r="T72" s="56"/>
      <c r="U72" s="56"/>
      <c r="V72" s="56"/>
      <c r="W72" s="56"/>
      <c r="X72" s="56"/>
      <c r="Y72" s="56"/>
      <c r="Z72" s="56"/>
      <c r="AA72" s="56"/>
    </row>
  </sheetData>
  <mergeCells count="21">
    <mergeCell ref="A1:AA1"/>
    <mergeCell ref="P2:AA2"/>
    <mergeCell ref="O3:AA3"/>
    <mergeCell ref="O4:R4"/>
    <mergeCell ref="U4:Z4"/>
    <mergeCell ref="A6:L6"/>
    <mergeCell ref="A3:A5"/>
    <mergeCell ref="B3:B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S4:S5"/>
    <mergeCell ref="T4:T5"/>
    <mergeCell ref="AA4:AA5"/>
    <mergeCell ref="C3:E5"/>
  </mergeCells>
  <printOptions horizontalCentered="1"/>
  <pageMargins left="0.118110236220472" right="0" top="0.15748031496063" bottom="0" header="0.31496062992126" footer="0.31496062992126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50"/>
  <sheetViews>
    <sheetView tabSelected="1" showRuler="0" workbookViewId="0">
      <selection activeCell="U5" sqref="U$1:Y$1048576"/>
    </sheetView>
  </sheetViews>
  <sheetFormatPr defaultColWidth="9" defaultRowHeight="15"/>
  <cols>
    <col min="1" max="1" width="5.14285714285714" customWidth="1"/>
    <col min="2" max="2" width="16.4285714285714" customWidth="1"/>
    <col min="3" max="3" width="5" customWidth="1"/>
    <col min="4" max="4" width="6.14285714285714" customWidth="1"/>
    <col min="5" max="5" width="8.14285714285714" customWidth="1"/>
    <col min="6" max="6" width="20" customWidth="1"/>
    <col min="7" max="7" width="9.28571428571429" customWidth="1"/>
    <col min="8" max="8" width="19" customWidth="1"/>
    <col min="9" max="9" width="14.4285714285714" customWidth="1"/>
    <col min="10" max="10" width="5" hidden="1" customWidth="1"/>
    <col min="11" max="11" width="9.57142857142857" customWidth="1"/>
    <col min="12" max="12" width="9.85714285714286" customWidth="1"/>
    <col min="13" max="13" width="9.71428571428571" customWidth="1"/>
    <col min="14" max="14" width="10.1428571428571" customWidth="1"/>
    <col min="15" max="19" width="5" hidden="1" customWidth="1"/>
    <col min="20" max="20" width="10" customWidth="1"/>
    <col min="21" max="25" width="5" hidden="1" customWidth="1"/>
    <col min="26" max="26" width="9.57142857142857" customWidth="1"/>
    <col min="27" max="27" width="11.2857142857143" customWidth="1"/>
    <col min="28" max="30" width="9.28571428571429" customWidth="1"/>
  </cols>
  <sheetData>
    <row r="1" ht="19.5" customHeight="1" spans="1:27">
      <c r="A1" s="1" t="s">
        <v>603</v>
      </c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customHeight="1" spans="1:27">
      <c r="A2" s="3" t="s">
        <v>604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1" t="s">
        <v>7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ht="13.5" customHeight="1" spans="1:27">
      <c r="A3" s="4" t="s">
        <v>36</v>
      </c>
      <c r="B3" s="5" t="s">
        <v>37</v>
      </c>
      <c r="C3" s="6" t="s">
        <v>156</v>
      </c>
      <c r="D3" s="6"/>
      <c r="E3" s="6"/>
      <c r="F3" s="6" t="s">
        <v>233</v>
      </c>
      <c r="G3" s="5" t="s">
        <v>234</v>
      </c>
      <c r="H3" s="5" t="s">
        <v>235</v>
      </c>
      <c r="I3" s="5" t="s">
        <v>605</v>
      </c>
      <c r="J3" s="5" t="s">
        <v>553</v>
      </c>
      <c r="K3" s="5" t="s">
        <v>554</v>
      </c>
      <c r="L3" s="5" t="s">
        <v>11</v>
      </c>
      <c r="M3" s="12" t="s">
        <v>556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4" t="s">
        <v>606</v>
      </c>
    </row>
    <row r="4" ht="18.75" customHeight="1" spans="1:27">
      <c r="A4" s="4"/>
      <c r="B4" s="5"/>
      <c r="C4" s="6"/>
      <c r="D4" s="6"/>
      <c r="E4" s="6"/>
      <c r="F4" s="6"/>
      <c r="G4" s="5"/>
      <c r="H4" s="5"/>
      <c r="I4" s="5"/>
      <c r="J4" s="5"/>
      <c r="K4" s="5"/>
      <c r="L4" s="5"/>
      <c r="M4" s="5" t="s">
        <v>106</v>
      </c>
      <c r="N4" s="5"/>
      <c r="O4" s="5"/>
      <c r="P4" s="5"/>
      <c r="Q4" s="5" t="s">
        <v>107</v>
      </c>
      <c r="R4" s="5" t="s">
        <v>108</v>
      </c>
      <c r="S4" s="5" t="s">
        <v>607</v>
      </c>
      <c r="T4" s="5" t="s">
        <v>109</v>
      </c>
      <c r="U4" s="5"/>
      <c r="V4" s="5"/>
      <c r="W4" s="5"/>
      <c r="X4" s="5"/>
      <c r="Y4" s="5"/>
      <c r="Z4" s="5" t="s">
        <v>110</v>
      </c>
      <c r="AA4" s="4"/>
    </row>
    <row r="5" ht="47.25" customHeight="1" spans="1:27">
      <c r="A5" s="4"/>
      <c r="B5" s="5"/>
      <c r="C5" s="6" t="s">
        <v>101</v>
      </c>
      <c r="D5" s="6" t="s">
        <v>102</v>
      </c>
      <c r="E5" s="6" t="s">
        <v>103</v>
      </c>
      <c r="F5" s="6"/>
      <c r="G5" s="5"/>
      <c r="H5" s="5"/>
      <c r="I5" s="5"/>
      <c r="J5" s="5"/>
      <c r="K5" s="5"/>
      <c r="L5" s="5"/>
      <c r="M5" s="13" t="s">
        <v>44</v>
      </c>
      <c r="N5" s="5" t="s">
        <v>115</v>
      </c>
      <c r="O5" s="5" t="s">
        <v>116</v>
      </c>
      <c r="P5" s="5" t="s">
        <v>117</v>
      </c>
      <c r="Q5" s="5"/>
      <c r="R5" s="5"/>
      <c r="S5" s="5"/>
      <c r="T5" s="5" t="s">
        <v>44</v>
      </c>
      <c r="U5" s="5" t="s">
        <v>118</v>
      </c>
      <c r="V5" s="5" t="s">
        <v>119</v>
      </c>
      <c r="W5" s="5" t="s">
        <v>120</v>
      </c>
      <c r="X5" s="5" t="s">
        <v>121</v>
      </c>
      <c r="Y5" s="5" t="s">
        <v>122</v>
      </c>
      <c r="Z5" s="5"/>
      <c r="AA5" s="4"/>
    </row>
    <row r="6" ht="21.75" customHeight="1" spans="1:30">
      <c r="A6" s="7">
        <f>6-5</f>
        <v>1</v>
      </c>
      <c r="B6" s="8" t="s">
        <v>149</v>
      </c>
      <c r="C6" s="8"/>
      <c r="D6" s="8"/>
      <c r="E6" s="8"/>
      <c r="F6" s="8"/>
      <c r="G6" s="8"/>
      <c r="H6" s="8"/>
      <c r="I6" s="8"/>
      <c r="J6" s="8"/>
      <c r="K6" s="8"/>
      <c r="L6" s="14">
        <v>4025.41275</v>
      </c>
      <c r="M6" s="14">
        <f t="shared" ref="M6:M69" si="0">N6+O6+P6</f>
        <v>4025.41275</v>
      </c>
      <c r="N6" s="14">
        <v>4025.41275</v>
      </c>
      <c r="O6" s="14">
        <v>0</v>
      </c>
      <c r="P6" s="14">
        <v>0</v>
      </c>
      <c r="Q6" s="14">
        <v>0</v>
      </c>
      <c r="R6" s="14">
        <v>0</v>
      </c>
      <c r="S6" s="14">
        <f t="shared" ref="S6:S69" si="1">T6</f>
        <v>0</v>
      </c>
      <c r="T6" s="14">
        <f t="shared" ref="T6:T69" si="2">U6+V6+W6+X6+Y6</f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5"/>
      <c r="AB6" s="16"/>
      <c r="AC6" s="16"/>
      <c r="AD6" s="16"/>
    </row>
    <row r="7" ht="38.25" customHeight="1" spans="1:30">
      <c r="A7" s="7">
        <f>7-5</f>
        <v>2</v>
      </c>
      <c r="B7" s="9" t="s">
        <v>3</v>
      </c>
      <c r="C7" s="10" t="s">
        <v>6</v>
      </c>
      <c r="D7" s="10" t="s">
        <v>6</v>
      </c>
      <c r="E7" s="10" t="s">
        <v>6</v>
      </c>
      <c r="F7" s="10" t="s">
        <v>6</v>
      </c>
      <c r="G7" s="9" t="s">
        <v>6</v>
      </c>
      <c r="H7" s="9" t="s">
        <v>6</v>
      </c>
      <c r="I7" s="9" t="s">
        <v>6</v>
      </c>
      <c r="J7" s="9" t="s">
        <v>6</v>
      </c>
      <c r="K7" s="9" t="s">
        <v>6</v>
      </c>
      <c r="L7" s="14">
        <v>4025.41275</v>
      </c>
      <c r="M7" s="14">
        <f t="shared" si="0"/>
        <v>4025.41275</v>
      </c>
      <c r="N7" s="14">
        <v>4025.41275</v>
      </c>
      <c r="O7" s="14">
        <v>0</v>
      </c>
      <c r="P7" s="14">
        <v>0</v>
      </c>
      <c r="Q7" s="14">
        <v>0</v>
      </c>
      <c r="R7" s="14">
        <v>0</v>
      </c>
      <c r="S7" s="14">
        <f t="shared" si="1"/>
        <v>0</v>
      </c>
      <c r="T7" s="14">
        <f t="shared" si="2"/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 t="s">
        <v>6</v>
      </c>
      <c r="AB7" s="16"/>
      <c r="AC7" s="16"/>
      <c r="AD7" s="16"/>
    </row>
    <row r="8" ht="21.75" customHeight="1" spans="1:30">
      <c r="A8" s="7">
        <f>8-5</f>
        <v>3</v>
      </c>
      <c r="B8" s="9" t="s">
        <v>6</v>
      </c>
      <c r="C8" s="10" t="s">
        <v>608</v>
      </c>
      <c r="D8" s="10" t="s">
        <v>6</v>
      </c>
      <c r="E8" s="10" t="s">
        <v>6</v>
      </c>
      <c r="F8" s="10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14">
        <v>88</v>
      </c>
      <c r="M8" s="14">
        <f t="shared" si="0"/>
        <v>88</v>
      </c>
      <c r="N8" s="14">
        <v>88</v>
      </c>
      <c r="O8" s="14">
        <v>0</v>
      </c>
      <c r="P8" s="14">
        <v>0</v>
      </c>
      <c r="Q8" s="14">
        <v>0</v>
      </c>
      <c r="R8" s="14">
        <v>0</v>
      </c>
      <c r="S8" s="14">
        <f t="shared" si="1"/>
        <v>0</v>
      </c>
      <c r="T8" s="14">
        <f t="shared" si="2"/>
        <v>0</v>
      </c>
      <c r="U8" s="14">
        <v>0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 t="s">
        <v>6</v>
      </c>
      <c r="AB8" s="16"/>
      <c r="AC8" s="16"/>
      <c r="AD8" s="16"/>
    </row>
    <row r="9" ht="21.75" customHeight="1" spans="1:30">
      <c r="A9" s="7">
        <f>9-5</f>
        <v>4</v>
      </c>
      <c r="B9" s="9" t="s">
        <v>6</v>
      </c>
      <c r="C9" s="10" t="s">
        <v>6</v>
      </c>
      <c r="D9" s="10" t="s">
        <v>609</v>
      </c>
      <c r="E9" s="10" t="s">
        <v>6</v>
      </c>
      <c r="F9" s="10" t="s">
        <v>6</v>
      </c>
      <c r="G9" s="9" t="s">
        <v>6</v>
      </c>
      <c r="H9" s="9" t="s">
        <v>6</v>
      </c>
      <c r="I9" s="9" t="s">
        <v>6</v>
      </c>
      <c r="J9" s="9" t="s">
        <v>6</v>
      </c>
      <c r="K9" s="9" t="s">
        <v>6</v>
      </c>
      <c r="L9" s="14">
        <v>88</v>
      </c>
      <c r="M9" s="14">
        <f t="shared" si="0"/>
        <v>88</v>
      </c>
      <c r="N9" s="14">
        <v>88</v>
      </c>
      <c r="O9" s="14">
        <v>0</v>
      </c>
      <c r="P9" s="14">
        <v>0</v>
      </c>
      <c r="Q9" s="14">
        <v>0</v>
      </c>
      <c r="R9" s="14">
        <v>0</v>
      </c>
      <c r="S9" s="14">
        <f t="shared" si="1"/>
        <v>0</v>
      </c>
      <c r="T9" s="14">
        <f t="shared" si="2"/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 t="s">
        <v>6</v>
      </c>
      <c r="AB9" s="16"/>
      <c r="AC9" s="16"/>
      <c r="AD9" s="16"/>
    </row>
    <row r="10" ht="21.75" customHeight="1" spans="1:30">
      <c r="A10" s="7">
        <f>10-5</f>
        <v>5</v>
      </c>
      <c r="B10" s="9" t="s">
        <v>6</v>
      </c>
      <c r="C10" s="10" t="s">
        <v>6</v>
      </c>
      <c r="D10" s="10" t="s">
        <v>6</v>
      </c>
      <c r="E10" s="10" t="s">
        <v>610</v>
      </c>
      <c r="F10" s="10" t="s">
        <v>6</v>
      </c>
      <c r="G10" s="9" t="s">
        <v>6</v>
      </c>
      <c r="H10" s="9" t="s">
        <v>6</v>
      </c>
      <c r="I10" s="9" t="s">
        <v>6</v>
      </c>
      <c r="J10" s="9" t="s">
        <v>6</v>
      </c>
      <c r="K10" s="9" t="s">
        <v>6</v>
      </c>
      <c r="L10" s="14">
        <v>88</v>
      </c>
      <c r="M10" s="14">
        <f t="shared" si="0"/>
        <v>88</v>
      </c>
      <c r="N10" s="14">
        <v>88</v>
      </c>
      <c r="O10" s="14">
        <v>0</v>
      </c>
      <c r="P10" s="14">
        <v>0</v>
      </c>
      <c r="Q10" s="14">
        <v>0</v>
      </c>
      <c r="R10" s="14">
        <v>0</v>
      </c>
      <c r="S10" s="14">
        <f t="shared" si="1"/>
        <v>0</v>
      </c>
      <c r="T10" s="14">
        <f t="shared" si="2"/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 t="s">
        <v>6</v>
      </c>
      <c r="AB10" s="16"/>
      <c r="AC10" s="16"/>
      <c r="AD10" s="16"/>
    </row>
    <row r="11" ht="21.75" customHeight="1" spans="1:30">
      <c r="A11" s="7">
        <f>11-5</f>
        <v>6</v>
      </c>
      <c r="B11" s="9" t="s">
        <v>6</v>
      </c>
      <c r="C11" s="10" t="s">
        <v>6</v>
      </c>
      <c r="D11" s="10" t="s">
        <v>6</v>
      </c>
      <c r="E11" s="10" t="s">
        <v>6</v>
      </c>
      <c r="F11" s="10" t="s">
        <v>244</v>
      </c>
      <c r="G11" s="9" t="s">
        <v>6</v>
      </c>
      <c r="H11" s="9" t="s">
        <v>6</v>
      </c>
      <c r="I11" s="9" t="s">
        <v>6</v>
      </c>
      <c r="J11" s="9" t="s">
        <v>6</v>
      </c>
      <c r="K11" s="9" t="s">
        <v>6</v>
      </c>
      <c r="L11" s="14">
        <v>88</v>
      </c>
      <c r="M11" s="14">
        <f t="shared" si="0"/>
        <v>88</v>
      </c>
      <c r="N11" s="14">
        <v>88</v>
      </c>
      <c r="O11" s="14">
        <v>0</v>
      </c>
      <c r="P11" s="14">
        <v>0</v>
      </c>
      <c r="Q11" s="14">
        <v>0</v>
      </c>
      <c r="R11" s="14">
        <v>0</v>
      </c>
      <c r="S11" s="14">
        <f t="shared" si="1"/>
        <v>0</v>
      </c>
      <c r="T11" s="14">
        <f t="shared" si="2"/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 t="s">
        <v>6</v>
      </c>
      <c r="AB11" s="16"/>
      <c r="AC11" s="16"/>
      <c r="AD11" s="16"/>
    </row>
    <row r="12" ht="21.75" customHeight="1" spans="1:30">
      <c r="A12" s="7">
        <f>12-5</f>
        <v>7</v>
      </c>
      <c r="B12" s="9" t="s">
        <v>6</v>
      </c>
      <c r="C12" s="10" t="s">
        <v>6</v>
      </c>
      <c r="D12" s="10" t="s">
        <v>6</v>
      </c>
      <c r="E12" s="10" t="s">
        <v>6</v>
      </c>
      <c r="F12" s="10" t="s">
        <v>6</v>
      </c>
      <c r="G12" s="9" t="s">
        <v>246</v>
      </c>
      <c r="H12" s="9" t="s">
        <v>6</v>
      </c>
      <c r="I12" s="9" t="s">
        <v>6</v>
      </c>
      <c r="J12" s="9" t="s">
        <v>6</v>
      </c>
      <c r="K12" s="9" t="s">
        <v>6</v>
      </c>
      <c r="L12" s="14">
        <v>88</v>
      </c>
      <c r="M12" s="14">
        <f t="shared" si="0"/>
        <v>88</v>
      </c>
      <c r="N12" s="14">
        <v>88</v>
      </c>
      <c r="O12" s="14">
        <v>0</v>
      </c>
      <c r="P12" s="14">
        <v>0</v>
      </c>
      <c r="Q12" s="14">
        <v>0</v>
      </c>
      <c r="R12" s="14">
        <v>0</v>
      </c>
      <c r="S12" s="14">
        <f t="shared" si="1"/>
        <v>0</v>
      </c>
      <c r="T12" s="14">
        <f t="shared" si="2"/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 t="s">
        <v>6</v>
      </c>
      <c r="AB12" s="16"/>
      <c r="AC12" s="16"/>
      <c r="AD12" s="16"/>
    </row>
    <row r="13" ht="21.75" customHeight="1" spans="1:30">
      <c r="A13" s="7">
        <f>13-5</f>
        <v>8</v>
      </c>
      <c r="B13" s="9" t="s">
        <v>6</v>
      </c>
      <c r="C13" s="10" t="s">
        <v>6</v>
      </c>
      <c r="D13" s="10" t="s">
        <v>6</v>
      </c>
      <c r="E13" s="10" t="s">
        <v>6</v>
      </c>
      <c r="F13" s="10" t="s">
        <v>6</v>
      </c>
      <c r="G13" s="9" t="s">
        <v>6</v>
      </c>
      <c r="H13" s="9" t="s">
        <v>252</v>
      </c>
      <c r="I13" s="9" t="s">
        <v>611</v>
      </c>
      <c r="J13" s="9"/>
      <c r="K13" s="9" t="s">
        <v>559</v>
      </c>
      <c r="L13" s="14">
        <v>24</v>
      </c>
      <c r="M13" s="14">
        <f t="shared" si="0"/>
        <v>24</v>
      </c>
      <c r="N13" s="14">
        <v>24</v>
      </c>
      <c r="O13" s="14">
        <v>0</v>
      </c>
      <c r="P13" s="14">
        <v>0</v>
      </c>
      <c r="Q13" s="14">
        <v>0</v>
      </c>
      <c r="R13" s="14">
        <v>0</v>
      </c>
      <c r="S13" s="14">
        <f t="shared" si="1"/>
        <v>0</v>
      </c>
      <c r="T13" s="14">
        <f t="shared" si="2"/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 t="s">
        <v>612</v>
      </c>
      <c r="AB13" s="16"/>
      <c r="AC13" s="16"/>
      <c r="AD13" s="16"/>
    </row>
    <row r="14" ht="21.75" customHeight="1" spans="1:30">
      <c r="A14" s="7">
        <f>14-5</f>
        <v>9</v>
      </c>
      <c r="B14" s="9" t="s">
        <v>6</v>
      </c>
      <c r="C14" s="10" t="s">
        <v>6</v>
      </c>
      <c r="D14" s="10" t="s">
        <v>6</v>
      </c>
      <c r="E14" s="10" t="s">
        <v>6</v>
      </c>
      <c r="F14" s="10" t="s">
        <v>6</v>
      </c>
      <c r="G14" s="9" t="s">
        <v>6</v>
      </c>
      <c r="H14" s="9" t="s">
        <v>249</v>
      </c>
      <c r="I14" s="9" t="s">
        <v>611</v>
      </c>
      <c r="J14" s="9"/>
      <c r="K14" s="9" t="s">
        <v>559</v>
      </c>
      <c r="L14" s="14">
        <v>8</v>
      </c>
      <c r="M14" s="14">
        <f t="shared" si="0"/>
        <v>8</v>
      </c>
      <c r="N14" s="14">
        <v>8</v>
      </c>
      <c r="O14" s="14">
        <v>0</v>
      </c>
      <c r="P14" s="14">
        <v>0</v>
      </c>
      <c r="Q14" s="14">
        <v>0</v>
      </c>
      <c r="R14" s="14">
        <v>0</v>
      </c>
      <c r="S14" s="14">
        <f t="shared" si="1"/>
        <v>0</v>
      </c>
      <c r="T14" s="14">
        <f t="shared" si="2"/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 t="s">
        <v>612</v>
      </c>
      <c r="AB14" s="16"/>
      <c r="AC14" s="16"/>
      <c r="AD14" s="16"/>
    </row>
    <row r="15" ht="21.75" customHeight="1" spans="1:30">
      <c r="A15" s="7">
        <f>15-5</f>
        <v>10</v>
      </c>
      <c r="B15" s="9" t="s">
        <v>6</v>
      </c>
      <c r="C15" s="10" t="s">
        <v>6</v>
      </c>
      <c r="D15" s="10" t="s">
        <v>6</v>
      </c>
      <c r="E15" s="10" t="s">
        <v>6</v>
      </c>
      <c r="F15" s="10" t="s">
        <v>6</v>
      </c>
      <c r="G15" s="9" t="s">
        <v>6</v>
      </c>
      <c r="H15" s="9" t="s">
        <v>250</v>
      </c>
      <c r="I15" s="9" t="s">
        <v>611</v>
      </c>
      <c r="J15" s="9"/>
      <c r="K15" s="9" t="s">
        <v>559</v>
      </c>
      <c r="L15" s="14">
        <v>26</v>
      </c>
      <c r="M15" s="14">
        <f t="shared" si="0"/>
        <v>26</v>
      </c>
      <c r="N15" s="14">
        <v>26</v>
      </c>
      <c r="O15" s="14">
        <v>0</v>
      </c>
      <c r="P15" s="14">
        <v>0</v>
      </c>
      <c r="Q15" s="14">
        <v>0</v>
      </c>
      <c r="R15" s="14">
        <v>0</v>
      </c>
      <c r="S15" s="14">
        <f t="shared" si="1"/>
        <v>0</v>
      </c>
      <c r="T15" s="14">
        <f t="shared" si="2"/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 t="s">
        <v>612</v>
      </c>
      <c r="AB15" s="16"/>
      <c r="AC15" s="16"/>
      <c r="AD15" s="16"/>
    </row>
    <row r="16" ht="21.75" customHeight="1" spans="1:30">
      <c r="A16" s="7">
        <f>16-5</f>
        <v>11</v>
      </c>
      <c r="B16" s="9" t="s">
        <v>6</v>
      </c>
      <c r="C16" s="10" t="s">
        <v>6</v>
      </c>
      <c r="D16" s="10" t="s">
        <v>6</v>
      </c>
      <c r="E16" s="10" t="s">
        <v>6</v>
      </c>
      <c r="F16" s="10" t="s">
        <v>6</v>
      </c>
      <c r="G16" s="9" t="s">
        <v>6</v>
      </c>
      <c r="H16" s="9" t="s">
        <v>248</v>
      </c>
      <c r="I16" s="9" t="s">
        <v>613</v>
      </c>
      <c r="J16" s="9"/>
      <c r="K16" s="9" t="s">
        <v>559</v>
      </c>
      <c r="L16" s="14">
        <v>30</v>
      </c>
      <c r="M16" s="14">
        <f t="shared" si="0"/>
        <v>30</v>
      </c>
      <c r="N16" s="14">
        <v>30</v>
      </c>
      <c r="O16" s="14">
        <v>0</v>
      </c>
      <c r="P16" s="14">
        <v>0</v>
      </c>
      <c r="Q16" s="14">
        <v>0</v>
      </c>
      <c r="R16" s="14">
        <v>0</v>
      </c>
      <c r="S16" s="14">
        <f t="shared" si="1"/>
        <v>0</v>
      </c>
      <c r="T16" s="14">
        <f t="shared" si="2"/>
        <v>0</v>
      </c>
      <c r="U16" s="14">
        <v>0</v>
      </c>
      <c r="V16" s="14">
        <v>0</v>
      </c>
      <c r="W16" s="14">
        <v>0</v>
      </c>
      <c r="X16" s="14">
        <v>0</v>
      </c>
      <c r="Y16" s="14">
        <v>0</v>
      </c>
      <c r="Z16" s="14">
        <v>0</v>
      </c>
      <c r="AA16" s="14" t="s">
        <v>612</v>
      </c>
      <c r="AB16" s="16"/>
      <c r="AC16" s="16"/>
      <c r="AD16" s="16"/>
    </row>
    <row r="17" ht="21.75" customHeight="1" spans="1:30">
      <c r="A17" s="7">
        <f>17-5</f>
        <v>12</v>
      </c>
      <c r="B17" s="9" t="s">
        <v>6</v>
      </c>
      <c r="C17" s="10" t="s">
        <v>614</v>
      </c>
      <c r="D17" s="10" t="s">
        <v>6</v>
      </c>
      <c r="E17" s="10" t="s">
        <v>6</v>
      </c>
      <c r="F17" s="10" t="s">
        <v>6</v>
      </c>
      <c r="G17" s="9" t="s">
        <v>6</v>
      </c>
      <c r="H17" s="9" t="s">
        <v>6</v>
      </c>
      <c r="I17" s="9" t="s">
        <v>6</v>
      </c>
      <c r="J17" s="9" t="s">
        <v>6</v>
      </c>
      <c r="K17" s="9" t="s">
        <v>6</v>
      </c>
      <c r="L17" s="14">
        <v>243.4</v>
      </c>
      <c r="M17" s="14">
        <f t="shared" si="0"/>
        <v>243.4</v>
      </c>
      <c r="N17" s="14">
        <v>243.4</v>
      </c>
      <c r="O17" s="14">
        <v>0</v>
      </c>
      <c r="P17" s="14">
        <v>0</v>
      </c>
      <c r="Q17" s="14">
        <v>0</v>
      </c>
      <c r="R17" s="14">
        <v>0</v>
      </c>
      <c r="S17" s="14">
        <f t="shared" si="1"/>
        <v>0</v>
      </c>
      <c r="T17" s="14">
        <f t="shared" si="2"/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 t="s">
        <v>6</v>
      </c>
      <c r="AB17" s="16"/>
      <c r="AC17" s="16"/>
      <c r="AD17" s="16"/>
    </row>
    <row r="18" ht="21.75" customHeight="1" spans="1:30">
      <c r="A18" s="7">
        <f>18-5</f>
        <v>13</v>
      </c>
      <c r="B18" s="9" t="s">
        <v>6</v>
      </c>
      <c r="C18" s="10" t="s">
        <v>6</v>
      </c>
      <c r="D18" s="10" t="s">
        <v>615</v>
      </c>
      <c r="E18" s="10" t="s">
        <v>6</v>
      </c>
      <c r="F18" s="10" t="s">
        <v>6</v>
      </c>
      <c r="G18" s="9" t="s">
        <v>6</v>
      </c>
      <c r="H18" s="9" t="s">
        <v>6</v>
      </c>
      <c r="I18" s="9" t="s">
        <v>6</v>
      </c>
      <c r="J18" s="9" t="s">
        <v>6</v>
      </c>
      <c r="K18" s="9" t="s">
        <v>6</v>
      </c>
      <c r="L18" s="14">
        <v>243.4</v>
      </c>
      <c r="M18" s="14">
        <f t="shared" si="0"/>
        <v>243.4</v>
      </c>
      <c r="N18" s="14">
        <v>243.4</v>
      </c>
      <c r="O18" s="14">
        <v>0</v>
      </c>
      <c r="P18" s="14">
        <v>0</v>
      </c>
      <c r="Q18" s="14">
        <v>0</v>
      </c>
      <c r="R18" s="14">
        <v>0</v>
      </c>
      <c r="S18" s="14">
        <f t="shared" si="1"/>
        <v>0</v>
      </c>
      <c r="T18" s="14">
        <f t="shared" si="2"/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 t="s">
        <v>6</v>
      </c>
      <c r="AB18" s="16"/>
      <c r="AC18" s="16"/>
      <c r="AD18" s="16"/>
    </row>
    <row r="19" ht="21.75" customHeight="1" spans="1:30">
      <c r="A19" s="7">
        <f>19-5</f>
        <v>14</v>
      </c>
      <c r="B19" s="9" t="s">
        <v>6</v>
      </c>
      <c r="C19" s="10" t="s">
        <v>6</v>
      </c>
      <c r="D19" s="10" t="s">
        <v>6</v>
      </c>
      <c r="E19" s="10" t="s">
        <v>616</v>
      </c>
      <c r="F19" s="10" t="s">
        <v>6</v>
      </c>
      <c r="G19" s="9" t="s">
        <v>6</v>
      </c>
      <c r="H19" s="9" t="s">
        <v>6</v>
      </c>
      <c r="I19" s="9" t="s">
        <v>6</v>
      </c>
      <c r="J19" s="9" t="s">
        <v>6</v>
      </c>
      <c r="K19" s="9" t="s">
        <v>6</v>
      </c>
      <c r="L19" s="14">
        <v>243.4</v>
      </c>
      <c r="M19" s="14">
        <f t="shared" si="0"/>
        <v>243.4</v>
      </c>
      <c r="N19" s="14">
        <v>243.4</v>
      </c>
      <c r="O19" s="14">
        <v>0</v>
      </c>
      <c r="P19" s="14">
        <v>0</v>
      </c>
      <c r="Q19" s="14">
        <v>0</v>
      </c>
      <c r="R19" s="14">
        <v>0</v>
      </c>
      <c r="S19" s="14">
        <f t="shared" si="1"/>
        <v>0</v>
      </c>
      <c r="T19" s="14">
        <f t="shared" si="2"/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 t="s">
        <v>6</v>
      </c>
      <c r="AB19" s="16"/>
      <c r="AC19" s="16"/>
      <c r="AD19" s="16"/>
    </row>
    <row r="20" ht="21.75" customHeight="1" spans="1:30">
      <c r="A20" s="7">
        <f>20-5</f>
        <v>15</v>
      </c>
      <c r="B20" s="9" t="s">
        <v>6</v>
      </c>
      <c r="C20" s="10" t="s">
        <v>6</v>
      </c>
      <c r="D20" s="10" t="s">
        <v>6</v>
      </c>
      <c r="E20" s="10" t="s">
        <v>6</v>
      </c>
      <c r="F20" s="10" t="s">
        <v>254</v>
      </c>
      <c r="G20" s="9" t="s">
        <v>6</v>
      </c>
      <c r="H20" s="9" t="s">
        <v>6</v>
      </c>
      <c r="I20" s="9" t="s">
        <v>6</v>
      </c>
      <c r="J20" s="9" t="s">
        <v>6</v>
      </c>
      <c r="K20" s="9" t="s">
        <v>6</v>
      </c>
      <c r="L20" s="14">
        <v>243.4</v>
      </c>
      <c r="M20" s="14">
        <f t="shared" si="0"/>
        <v>243.4</v>
      </c>
      <c r="N20" s="14">
        <v>243.4</v>
      </c>
      <c r="O20" s="14">
        <v>0</v>
      </c>
      <c r="P20" s="14">
        <v>0</v>
      </c>
      <c r="Q20" s="14">
        <v>0</v>
      </c>
      <c r="R20" s="14">
        <v>0</v>
      </c>
      <c r="S20" s="14">
        <f t="shared" si="1"/>
        <v>0</v>
      </c>
      <c r="T20" s="14">
        <f t="shared" si="2"/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 t="s">
        <v>6</v>
      </c>
      <c r="AB20" s="16"/>
      <c r="AC20" s="16"/>
      <c r="AD20" s="16"/>
    </row>
    <row r="21" ht="21.75" customHeight="1" spans="1:30">
      <c r="A21" s="7">
        <f>21-5</f>
        <v>16</v>
      </c>
      <c r="B21" s="9" t="s">
        <v>6</v>
      </c>
      <c r="C21" s="10" t="s">
        <v>6</v>
      </c>
      <c r="D21" s="10" t="s">
        <v>6</v>
      </c>
      <c r="E21" s="10" t="s">
        <v>6</v>
      </c>
      <c r="F21" s="10" t="s">
        <v>6</v>
      </c>
      <c r="G21" s="9" t="s">
        <v>279</v>
      </c>
      <c r="H21" s="9" t="s">
        <v>6</v>
      </c>
      <c r="I21" s="9" t="s">
        <v>6</v>
      </c>
      <c r="J21" s="9" t="s">
        <v>6</v>
      </c>
      <c r="K21" s="9" t="s">
        <v>6</v>
      </c>
      <c r="L21" s="14">
        <v>60</v>
      </c>
      <c r="M21" s="14">
        <f t="shared" si="0"/>
        <v>60</v>
      </c>
      <c r="N21" s="14">
        <v>60</v>
      </c>
      <c r="O21" s="14">
        <v>0</v>
      </c>
      <c r="P21" s="14">
        <v>0</v>
      </c>
      <c r="Q21" s="14">
        <v>0</v>
      </c>
      <c r="R21" s="14">
        <v>0</v>
      </c>
      <c r="S21" s="14">
        <f t="shared" si="1"/>
        <v>0</v>
      </c>
      <c r="T21" s="14">
        <f t="shared" si="2"/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 t="s">
        <v>6</v>
      </c>
      <c r="AB21" s="16"/>
      <c r="AC21" s="16"/>
      <c r="AD21" s="16"/>
    </row>
    <row r="22" ht="21.75" customHeight="1" spans="1:30">
      <c r="A22" s="7">
        <f>22-5</f>
        <v>17</v>
      </c>
      <c r="B22" s="9" t="s">
        <v>6</v>
      </c>
      <c r="C22" s="10" t="s">
        <v>6</v>
      </c>
      <c r="D22" s="10" t="s">
        <v>6</v>
      </c>
      <c r="E22" s="10" t="s">
        <v>6</v>
      </c>
      <c r="F22" s="10" t="s">
        <v>6</v>
      </c>
      <c r="G22" s="9" t="s">
        <v>6</v>
      </c>
      <c r="H22" s="9" t="s">
        <v>285</v>
      </c>
      <c r="I22" s="9" t="s">
        <v>617</v>
      </c>
      <c r="J22" s="9"/>
      <c r="K22" s="9" t="s">
        <v>559</v>
      </c>
      <c r="L22" s="14">
        <v>60</v>
      </c>
      <c r="M22" s="14">
        <f t="shared" si="0"/>
        <v>60</v>
      </c>
      <c r="N22" s="14">
        <v>60</v>
      </c>
      <c r="O22" s="14">
        <v>0</v>
      </c>
      <c r="P22" s="14">
        <v>0</v>
      </c>
      <c r="Q22" s="14">
        <v>0</v>
      </c>
      <c r="R22" s="14">
        <v>0</v>
      </c>
      <c r="S22" s="14">
        <f t="shared" si="1"/>
        <v>0</v>
      </c>
      <c r="T22" s="14">
        <f t="shared" si="2"/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 t="s">
        <v>612</v>
      </c>
      <c r="AB22" s="16"/>
      <c r="AC22" s="16"/>
      <c r="AD22" s="16"/>
    </row>
    <row r="23" ht="21.75" customHeight="1" spans="1:30">
      <c r="A23" s="7">
        <f>23-5</f>
        <v>18</v>
      </c>
      <c r="B23" s="9" t="s">
        <v>6</v>
      </c>
      <c r="C23" s="10" t="s">
        <v>6</v>
      </c>
      <c r="D23" s="10" t="s">
        <v>6</v>
      </c>
      <c r="E23" s="10" t="s">
        <v>6</v>
      </c>
      <c r="F23" s="10" t="s">
        <v>6</v>
      </c>
      <c r="G23" s="9" t="s">
        <v>264</v>
      </c>
      <c r="H23" s="9" t="s">
        <v>6</v>
      </c>
      <c r="I23" s="9" t="s">
        <v>6</v>
      </c>
      <c r="J23" s="9" t="s">
        <v>6</v>
      </c>
      <c r="K23" s="9" t="s">
        <v>6</v>
      </c>
      <c r="L23" s="14">
        <v>100.4</v>
      </c>
      <c r="M23" s="14">
        <f t="shared" si="0"/>
        <v>100.4</v>
      </c>
      <c r="N23" s="14">
        <v>100.4</v>
      </c>
      <c r="O23" s="14">
        <v>0</v>
      </c>
      <c r="P23" s="14">
        <v>0</v>
      </c>
      <c r="Q23" s="14">
        <v>0</v>
      </c>
      <c r="R23" s="14">
        <v>0</v>
      </c>
      <c r="S23" s="14">
        <f t="shared" si="1"/>
        <v>0</v>
      </c>
      <c r="T23" s="14">
        <f t="shared" si="2"/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 t="s">
        <v>6</v>
      </c>
      <c r="AB23" s="16"/>
      <c r="AC23" s="16"/>
      <c r="AD23" s="16"/>
    </row>
    <row r="24" ht="21.75" customHeight="1" spans="1:30">
      <c r="A24" s="7">
        <f>24-5</f>
        <v>19</v>
      </c>
      <c r="B24" s="9" t="s">
        <v>6</v>
      </c>
      <c r="C24" s="10" t="s">
        <v>6</v>
      </c>
      <c r="D24" s="10" t="s">
        <v>6</v>
      </c>
      <c r="E24" s="10" t="s">
        <v>6</v>
      </c>
      <c r="F24" s="10" t="s">
        <v>6</v>
      </c>
      <c r="G24" s="9" t="s">
        <v>6</v>
      </c>
      <c r="H24" s="9" t="s">
        <v>268</v>
      </c>
      <c r="I24" s="9" t="s">
        <v>618</v>
      </c>
      <c r="J24" s="9"/>
      <c r="K24" s="9" t="s">
        <v>559</v>
      </c>
      <c r="L24" s="14">
        <v>13.3</v>
      </c>
      <c r="M24" s="14">
        <f t="shared" si="0"/>
        <v>13.3</v>
      </c>
      <c r="N24" s="14">
        <v>13.3</v>
      </c>
      <c r="O24" s="14">
        <v>0</v>
      </c>
      <c r="P24" s="14">
        <v>0</v>
      </c>
      <c r="Q24" s="14">
        <v>0</v>
      </c>
      <c r="R24" s="14">
        <v>0</v>
      </c>
      <c r="S24" s="14">
        <f t="shared" si="1"/>
        <v>0</v>
      </c>
      <c r="T24" s="14">
        <f t="shared" si="2"/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 t="s">
        <v>612</v>
      </c>
      <c r="AB24" s="16"/>
      <c r="AC24" s="16"/>
      <c r="AD24" s="16"/>
    </row>
    <row r="25" ht="21.75" customHeight="1" spans="1:30">
      <c r="A25" s="7">
        <f>25-5</f>
        <v>20</v>
      </c>
      <c r="B25" s="9" t="s">
        <v>6</v>
      </c>
      <c r="C25" s="10" t="s">
        <v>6</v>
      </c>
      <c r="D25" s="10" t="s">
        <v>6</v>
      </c>
      <c r="E25" s="10" t="s">
        <v>6</v>
      </c>
      <c r="F25" s="10" t="s">
        <v>6</v>
      </c>
      <c r="G25" s="9" t="s">
        <v>6</v>
      </c>
      <c r="H25" s="9" t="s">
        <v>275</v>
      </c>
      <c r="I25" s="9" t="s">
        <v>619</v>
      </c>
      <c r="J25" s="9"/>
      <c r="K25" s="9" t="s">
        <v>559</v>
      </c>
      <c r="L25" s="14">
        <v>14.4</v>
      </c>
      <c r="M25" s="14">
        <f t="shared" si="0"/>
        <v>14.4</v>
      </c>
      <c r="N25" s="14">
        <v>14.4</v>
      </c>
      <c r="O25" s="14">
        <v>0</v>
      </c>
      <c r="P25" s="14">
        <v>0</v>
      </c>
      <c r="Q25" s="14">
        <v>0</v>
      </c>
      <c r="R25" s="14">
        <v>0</v>
      </c>
      <c r="S25" s="14">
        <f t="shared" si="1"/>
        <v>0</v>
      </c>
      <c r="T25" s="14">
        <f t="shared" si="2"/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 t="s">
        <v>612</v>
      </c>
      <c r="AB25" s="16"/>
      <c r="AC25" s="16"/>
      <c r="AD25" s="16"/>
    </row>
    <row r="26" ht="21.75" customHeight="1" spans="1:30">
      <c r="A26" s="7">
        <f>26-5</f>
        <v>21</v>
      </c>
      <c r="B26" s="9" t="s">
        <v>6</v>
      </c>
      <c r="C26" s="10" t="s">
        <v>6</v>
      </c>
      <c r="D26" s="10" t="s">
        <v>6</v>
      </c>
      <c r="E26" s="10" t="s">
        <v>6</v>
      </c>
      <c r="F26" s="10" t="s">
        <v>6</v>
      </c>
      <c r="G26" s="9" t="s">
        <v>6</v>
      </c>
      <c r="H26" s="9" t="s">
        <v>266</v>
      </c>
      <c r="I26" s="9" t="s">
        <v>620</v>
      </c>
      <c r="J26" s="9"/>
      <c r="K26" s="9" t="s">
        <v>559</v>
      </c>
      <c r="L26" s="14">
        <v>11.4</v>
      </c>
      <c r="M26" s="14">
        <f t="shared" si="0"/>
        <v>11.4</v>
      </c>
      <c r="N26" s="14">
        <v>11.4</v>
      </c>
      <c r="O26" s="14">
        <v>0</v>
      </c>
      <c r="P26" s="14">
        <v>0</v>
      </c>
      <c r="Q26" s="14">
        <v>0</v>
      </c>
      <c r="R26" s="14">
        <v>0</v>
      </c>
      <c r="S26" s="14">
        <f t="shared" si="1"/>
        <v>0</v>
      </c>
      <c r="T26" s="14">
        <f t="shared" si="2"/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 t="s">
        <v>612</v>
      </c>
      <c r="AB26" s="16"/>
      <c r="AC26" s="16"/>
      <c r="AD26" s="16"/>
    </row>
    <row r="27" ht="21.75" customHeight="1" spans="1:30">
      <c r="A27" s="7">
        <f>27-5</f>
        <v>22</v>
      </c>
      <c r="B27" s="9" t="s">
        <v>6</v>
      </c>
      <c r="C27" s="10" t="s">
        <v>6</v>
      </c>
      <c r="D27" s="10" t="s">
        <v>6</v>
      </c>
      <c r="E27" s="10" t="s">
        <v>6</v>
      </c>
      <c r="F27" s="10" t="s">
        <v>6</v>
      </c>
      <c r="G27" s="9" t="s">
        <v>6</v>
      </c>
      <c r="H27" s="9" t="s">
        <v>272</v>
      </c>
      <c r="I27" s="9" t="s">
        <v>621</v>
      </c>
      <c r="J27" s="9"/>
      <c r="K27" s="9" t="s">
        <v>559</v>
      </c>
      <c r="L27" s="14">
        <v>9.8</v>
      </c>
      <c r="M27" s="14">
        <f t="shared" si="0"/>
        <v>9.8</v>
      </c>
      <c r="N27" s="14">
        <v>9.8</v>
      </c>
      <c r="O27" s="14">
        <v>0</v>
      </c>
      <c r="P27" s="14">
        <v>0</v>
      </c>
      <c r="Q27" s="14">
        <v>0</v>
      </c>
      <c r="R27" s="14">
        <v>0</v>
      </c>
      <c r="S27" s="14">
        <f t="shared" si="1"/>
        <v>0</v>
      </c>
      <c r="T27" s="14">
        <f t="shared" si="2"/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 t="s">
        <v>612</v>
      </c>
      <c r="AB27" s="16"/>
      <c r="AC27" s="16"/>
      <c r="AD27" s="16"/>
    </row>
    <row r="28" ht="21.75" customHeight="1" spans="1:30">
      <c r="A28" s="7">
        <f>28-5</f>
        <v>23</v>
      </c>
      <c r="B28" s="9" t="s">
        <v>6</v>
      </c>
      <c r="C28" s="10" t="s">
        <v>6</v>
      </c>
      <c r="D28" s="10" t="s">
        <v>6</v>
      </c>
      <c r="E28" s="10" t="s">
        <v>6</v>
      </c>
      <c r="F28" s="10" t="s">
        <v>6</v>
      </c>
      <c r="G28" s="9" t="s">
        <v>6</v>
      </c>
      <c r="H28" s="9" t="s">
        <v>271</v>
      </c>
      <c r="I28" s="9" t="s">
        <v>621</v>
      </c>
      <c r="J28" s="9"/>
      <c r="K28" s="9" t="s">
        <v>559</v>
      </c>
      <c r="L28" s="14">
        <v>20</v>
      </c>
      <c r="M28" s="14">
        <f t="shared" si="0"/>
        <v>20</v>
      </c>
      <c r="N28" s="14">
        <v>20</v>
      </c>
      <c r="O28" s="14">
        <v>0</v>
      </c>
      <c r="P28" s="14">
        <v>0</v>
      </c>
      <c r="Q28" s="14">
        <v>0</v>
      </c>
      <c r="R28" s="14">
        <v>0</v>
      </c>
      <c r="S28" s="14">
        <f t="shared" si="1"/>
        <v>0</v>
      </c>
      <c r="T28" s="14">
        <f t="shared" si="2"/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 t="s">
        <v>612</v>
      </c>
      <c r="AB28" s="16"/>
      <c r="AC28" s="16"/>
      <c r="AD28" s="16"/>
    </row>
    <row r="29" ht="21.75" customHeight="1" spans="1:30">
      <c r="A29" s="7">
        <f>29-5</f>
        <v>24</v>
      </c>
      <c r="B29" s="9" t="s">
        <v>6</v>
      </c>
      <c r="C29" s="10" t="s">
        <v>6</v>
      </c>
      <c r="D29" s="10" t="s">
        <v>6</v>
      </c>
      <c r="E29" s="10" t="s">
        <v>6</v>
      </c>
      <c r="F29" s="10" t="s">
        <v>6</v>
      </c>
      <c r="G29" s="9" t="s">
        <v>6</v>
      </c>
      <c r="H29" s="9" t="s">
        <v>273</v>
      </c>
      <c r="I29" s="9" t="s">
        <v>619</v>
      </c>
      <c r="J29" s="9"/>
      <c r="K29" s="9" t="s">
        <v>559</v>
      </c>
      <c r="L29" s="14">
        <v>6.1</v>
      </c>
      <c r="M29" s="14">
        <f t="shared" si="0"/>
        <v>6.1</v>
      </c>
      <c r="N29" s="14">
        <v>6.1</v>
      </c>
      <c r="O29" s="14">
        <v>0</v>
      </c>
      <c r="P29" s="14">
        <v>0</v>
      </c>
      <c r="Q29" s="14">
        <v>0</v>
      </c>
      <c r="R29" s="14">
        <v>0</v>
      </c>
      <c r="S29" s="14">
        <f t="shared" si="1"/>
        <v>0</v>
      </c>
      <c r="T29" s="14">
        <f t="shared" si="2"/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 t="s">
        <v>612</v>
      </c>
      <c r="AB29" s="16"/>
      <c r="AC29" s="16"/>
      <c r="AD29" s="16"/>
    </row>
    <row r="30" ht="21.75" customHeight="1" spans="1:30">
      <c r="A30" s="7">
        <f>30-5</f>
        <v>25</v>
      </c>
      <c r="B30" s="9" t="s">
        <v>6</v>
      </c>
      <c r="C30" s="10" t="s">
        <v>6</v>
      </c>
      <c r="D30" s="10" t="s">
        <v>6</v>
      </c>
      <c r="E30" s="10" t="s">
        <v>6</v>
      </c>
      <c r="F30" s="10" t="s">
        <v>6</v>
      </c>
      <c r="G30" s="9" t="s">
        <v>6</v>
      </c>
      <c r="H30" s="9" t="s">
        <v>267</v>
      </c>
      <c r="I30" s="9" t="s">
        <v>620</v>
      </c>
      <c r="J30" s="9"/>
      <c r="K30" s="9" t="s">
        <v>559</v>
      </c>
      <c r="L30" s="14">
        <v>11.4</v>
      </c>
      <c r="M30" s="14">
        <f t="shared" si="0"/>
        <v>11.4</v>
      </c>
      <c r="N30" s="14">
        <v>11.4</v>
      </c>
      <c r="O30" s="14">
        <v>0</v>
      </c>
      <c r="P30" s="14">
        <v>0</v>
      </c>
      <c r="Q30" s="14">
        <v>0</v>
      </c>
      <c r="R30" s="14">
        <v>0</v>
      </c>
      <c r="S30" s="14">
        <f t="shared" si="1"/>
        <v>0</v>
      </c>
      <c r="T30" s="14">
        <f t="shared" si="2"/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 t="s">
        <v>612</v>
      </c>
      <c r="AB30" s="16"/>
      <c r="AC30" s="16"/>
      <c r="AD30" s="16"/>
    </row>
    <row r="31" ht="21.75" customHeight="1" spans="1:30">
      <c r="A31" s="7">
        <f>31-5</f>
        <v>26</v>
      </c>
      <c r="B31" s="9" t="s">
        <v>6</v>
      </c>
      <c r="C31" s="10" t="s">
        <v>6</v>
      </c>
      <c r="D31" s="10" t="s">
        <v>6</v>
      </c>
      <c r="E31" s="10" t="s">
        <v>6</v>
      </c>
      <c r="F31" s="10" t="s">
        <v>6</v>
      </c>
      <c r="G31" s="9" t="s">
        <v>6</v>
      </c>
      <c r="H31" s="9" t="s">
        <v>270</v>
      </c>
      <c r="I31" s="9" t="s">
        <v>620</v>
      </c>
      <c r="J31" s="9"/>
      <c r="K31" s="9" t="s">
        <v>559</v>
      </c>
      <c r="L31" s="14">
        <v>14</v>
      </c>
      <c r="M31" s="14">
        <f t="shared" si="0"/>
        <v>14</v>
      </c>
      <c r="N31" s="14">
        <v>14</v>
      </c>
      <c r="O31" s="14">
        <v>0</v>
      </c>
      <c r="P31" s="14">
        <v>0</v>
      </c>
      <c r="Q31" s="14">
        <v>0</v>
      </c>
      <c r="R31" s="14">
        <v>0</v>
      </c>
      <c r="S31" s="14">
        <f t="shared" si="1"/>
        <v>0</v>
      </c>
      <c r="T31" s="14">
        <f t="shared" si="2"/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 t="s">
        <v>612</v>
      </c>
      <c r="AB31" s="16"/>
      <c r="AC31" s="16"/>
      <c r="AD31" s="16"/>
    </row>
    <row r="32" ht="21.75" customHeight="1" spans="1:30">
      <c r="A32" s="7">
        <f>32-5</f>
        <v>27</v>
      </c>
      <c r="B32" s="9" t="s">
        <v>6</v>
      </c>
      <c r="C32" s="10" t="s">
        <v>6</v>
      </c>
      <c r="D32" s="10" t="s">
        <v>6</v>
      </c>
      <c r="E32" s="10" t="s">
        <v>6</v>
      </c>
      <c r="F32" s="10" t="s">
        <v>6</v>
      </c>
      <c r="G32" s="9" t="s">
        <v>276</v>
      </c>
      <c r="H32" s="9" t="s">
        <v>6</v>
      </c>
      <c r="I32" s="9" t="s">
        <v>6</v>
      </c>
      <c r="J32" s="9" t="s">
        <v>6</v>
      </c>
      <c r="K32" s="9" t="s">
        <v>6</v>
      </c>
      <c r="L32" s="14">
        <v>16</v>
      </c>
      <c r="M32" s="14">
        <f t="shared" si="0"/>
        <v>16</v>
      </c>
      <c r="N32" s="14">
        <v>16</v>
      </c>
      <c r="O32" s="14">
        <v>0</v>
      </c>
      <c r="P32" s="14">
        <v>0</v>
      </c>
      <c r="Q32" s="14">
        <v>0</v>
      </c>
      <c r="R32" s="14">
        <v>0</v>
      </c>
      <c r="S32" s="14">
        <f t="shared" si="1"/>
        <v>0</v>
      </c>
      <c r="T32" s="14">
        <f t="shared" si="2"/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 t="s">
        <v>6</v>
      </c>
      <c r="AB32" s="16"/>
      <c r="AC32" s="16"/>
      <c r="AD32" s="16"/>
    </row>
    <row r="33" ht="21.75" customHeight="1" spans="1:30">
      <c r="A33" s="7">
        <f>33-5</f>
        <v>28</v>
      </c>
      <c r="B33" s="9" t="s">
        <v>6</v>
      </c>
      <c r="C33" s="10" t="s">
        <v>6</v>
      </c>
      <c r="D33" s="10" t="s">
        <v>6</v>
      </c>
      <c r="E33" s="10" t="s">
        <v>6</v>
      </c>
      <c r="F33" s="10" t="s">
        <v>6</v>
      </c>
      <c r="G33" s="9" t="s">
        <v>6</v>
      </c>
      <c r="H33" s="9" t="s">
        <v>278</v>
      </c>
      <c r="I33" s="9" t="s">
        <v>620</v>
      </c>
      <c r="J33" s="9"/>
      <c r="K33" s="9" t="s">
        <v>559</v>
      </c>
      <c r="L33" s="14">
        <v>16</v>
      </c>
      <c r="M33" s="14">
        <f t="shared" si="0"/>
        <v>16</v>
      </c>
      <c r="N33" s="14">
        <v>16</v>
      </c>
      <c r="O33" s="14">
        <v>0</v>
      </c>
      <c r="P33" s="14">
        <v>0</v>
      </c>
      <c r="Q33" s="14">
        <v>0</v>
      </c>
      <c r="R33" s="14">
        <v>0</v>
      </c>
      <c r="S33" s="14">
        <f t="shared" si="1"/>
        <v>0</v>
      </c>
      <c r="T33" s="14">
        <f t="shared" si="2"/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 t="s">
        <v>612</v>
      </c>
      <c r="AB33" s="16"/>
      <c r="AC33" s="16"/>
      <c r="AD33" s="16"/>
    </row>
    <row r="34" ht="21.75" customHeight="1" spans="1:30">
      <c r="A34" s="7">
        <f>34-5</f>
        <v>29</v>
      </c>
      <c r="B34" s="9" t="s">
        <v>6</v>
      </c>
      <c r="C34" s="10" t="s">
        <v>6</v>
      </c>
      <c r="D34" s="10" t="s">
        <v>6</v>
      </c>
      <c r="E34" s="10" t="s">
        <v>6</v>
      </c>
      <c r="F34" s="10" t="s">
        <v>6</v>
      </c>
      <c r="G34" s="9" t="s">
        <v>255</v>
      </c>
      <c r="H34" s="9" t="s">
        <v>6</v>
      </c>
      <c r="I34" s="9" t="s">
        <v>6</v>
      </c>
      <c r="J34" s="9" t="s">
        <v>6</v>
      </c>
      <c r="K34" s="9" t="s">
        <v>6</v>
      </c>
      <c r="L34" s="14">
        <v>67</v>
      </c>
      <c r="M34" s="14">
        <f t="shared" si="0"/>
        <v>67</v>
      </c>
      <c r="N34" s="14">
        <v>67</v>
      </c>
      <c r="O34" s="14">
        <v>0</v>
      </c>
      <c r="P34" s="14">
        <v>0</v>
      </c>
      <c r="Q34" s="14">
        <v>0</v>
      </c>
      <c r="R34" s="14">
        <v>0</v>
      </c>
      <c r="S34" s="14">
        <f t="shared" si="1"/>
        <v>0</v>
      </c>
      <c r="T34" s="14">
        <f t="shared" si="2"/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 t="s">
        <v>6</v>
      </c>
      <c r="AB34" s="16"/>
      <c r="AC34" s="16"/>
      <c r="AD34" s="16"/>
    </row>
    <row r="35" ht="21.75" customHeight="1" spans="1:30">
      <c r="A35" s="7">
        <f>35-5</f>
        <v>30</v>
      </c>
      <c r="B35" s="9" t="s">
        <v>6</v>
      </c>
      <c r="C35" s="10" t="s">
        <v>6</v>
      </c>
      <c r="D35" s="10" t="s">
        <v>6</v>
      </c>
      <c r="E35" s="10" t="s">
        <v>6</v>
      </c>
      <c r="F35" s="10" t="s">
        <v>6</v>
      </c>
      <c r="G35" s="9" t="s">
        <v>6</v>
      </c>
      <c r="H35" s="9" t="s">
        <v>258</v>
      </c>
      <c r="I35" s="9" t="s">
        <v>622</v>
      </c>
      <c r="J35" s="9"/>
      <c r="K35" s="9" t="s">
        <v>559</v>
      </c>
      <c r="L35" s="14">
        <v>34</v>
      </c>
      <c r="M35" s="14">
        <f t="shared" si="0"/>
        <v>34</v>
      </c>
      <c r="N35" s="14">
        <v>34</v>
      </c>
      <c r="O35" s="14">
        <v>0</v>
      </c>
      <c r="P35" s="14">
        <v>0</v>
      </c>
      <c r="Q35" s="14">
        <v>0</v>
      </c>
      <c r="R35" s="14">
        <v>0</v>
      </c>
      <c r="S35" s="14">
        <f t="shared" si="1"/>
        <v>0</v>
      </c>
      <c r="T35" s="14">
        <f t="shared" si="2"/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 t="s">
        <v>612</v>
      </c>
      <c r="AB35" s="16"/>
      <c r="AC35" s="16"/>
      <c r="AD35" s="16"/>
    </row>
    <row r="36" ht="21.75" customHeight="1" spans="1:30">
      <c r="A36" s="7">
        <f>36-5</f>
        <v>31</v>
      </c>
      <c r="B36" s="9" t="s">
        <v>6</v>
      </c>
      <c r="C36" s="10" t="s">
        <v>6</v>
      </c>
      <c r="D36" s="10" t="s">
        <v>6</v>
      </c>
      <c r="E36" s="10" t="s">
        <v>6</v>
      </c>
      <c r="F36" s="10" t="s">
        <v>6</v>
      </c>
      <c r="G36" s="9" t="s">
        <v>6</v>
      </c>
      <c r="H36" s="9" t="s">
        <v>259</v>
      </c>
      <c r="I36" s="9" t="s">
        <v>622</v>
      </c>
      <c r="J36" s="9"/>
      <c r="K36" s="9" t="s">
        <v>559</v>
      </c>
      <c r="L36" s="14">
        <v>28.5</v>
      </c>
      <c r="M36" s="14">
        <f t="shared" si="0"/>
        <v>28.5</v>
      </c>
      <c r="N36" s="14">
        <v>28.5</v>
      </c>
      <c r="O36" s="14">
        <v>0</v>
      </c>
      <c r="P36" s="14">
        <v>0</v>
      </c>
      <c r="Q36" s="14">
        <v>0</v>
      </c>
      <c r="R36" s="14">
        <v>0</v>
      </c>
      <c r="S36" s="14">
        <f t="shared" si="1"/>
        <v>0</v>
      </c>
      <c r="T36" s="14">
        <f t="shared" si="2"/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 t="s">
        <v>612</v>
      </c>
      <c r="AB36" s="16"/>
      <c r="AC36" s="16"/>
      <c r="AD36" s="16"/>
    </row>
    <row r="37" ht="21.75" customHeight="1" spans="1:30">
      <c r="A37" s="7">
        <f>37-5</f>
        <v>32</v>
      </c>
      <c r="B37" s="9" t="s">
        <v>6</v>
      </c>
      <c r="C37" s="10" t="s">
        <v>6</v>
      </c>
      <c r="D37" s="10" t="s">
        <v>6</v>
      </c>
      <c r="E37" s="10" t="s">
        <v>6</v>
      </c>
      <c r="F37" s="10" t="s">
        <v>6</v>
      </c>
      <c r="G37" s="9" t="s">
        <v>6</v>
      </c>
      <c r="H37" s="9" t="s">
        <v>260</v>
      </c>
      <c r="I37" s="9" t="s">
        <v>623</v>
      </c>
      <c r="J37" s="9"/>
      <c r="K37" s="9" t="s">
        <v>559</v>
      </c>
      <c r="L37" s="14">
        <v>4.5</v>
      </c>
      <c r="M37" s="14">
        <f t="shared" si="0"/>
        <v>4.5</v>
      </c>
      <c r="N37" s="14">
        <v>4.5</v>
      </c>
      <c r="O37" s="14">
        <v>0</v>
      </c>
      <c r="P37" s="14">
        <v>0</v>
      </c>
      <c r="Q37" s="14">
        <v>0</v>
      </c>
      <c r="R37" s="14">
        <v>0</v>
      </c>
      <c r="S37" s="14">
        <f t="shared" si="1"/>
        <v>0</v>
      </c>
      <c r="T37" s="14">
        <f t="shared" si="2"/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 t="s">
        <v>612</v>
      </c>
      <c r="AB37" s="16"/>
      <c r="AC37" s="16"/>
      <c r="AD37" s="16"/>
    </row>
    <row r="38" ht="21.75" customHeight="1" spans="1:30">
      <c r="A38" s="7">
        <f>38-5</f>
        <v>33</v>
      </c>
      <c r="B38" s="9" t="s">
        <v>6</v>
      </c>
      <c r="C38" s="10" t="s">
        <v>624</v>
      </c>
      <c r="D38" s="10" t="s">
        <v>6</v>
      </c>
      <c r="E38" s="10" t="s">
        <v>6</v>
      </c>
      <c r="F38" s="10" t="s">
        <v>6</v>
      </c>
      <c r="G38" s="9" t="s">
        <v>6</v>
      </c>
      <c r="H38" s="9" t="s">
        <v>6</v>
      </c>
      <c r="I38" s="9" t="s">
        <v>6</v>
      </c>
      <c r="J38" s="9" t="s">
        <v>6</v>
      </c>
      <c r="K38" s="9" t="s">
        <v>6</v>
      </c>
      <c r="L38" s="14">
        <v>276</v>
      </c>
      <c r="M38" s="14">
        <f t="shared" si="0"/>
        <v>276</v>
      </c>
      <c r="N38" s="14">
        <v>276</v>
      </c>
      <c r="O38" s="14">
        <v>0</v>
      </c>
      <c r="P38" s="14">
        <v>0</v>
      </c>
      <c r="Q38" s="14">
        <v>0</v>
      </c>
      <c r="R38" s="14">
        <v>0</v>
      </c>
      <c r="S38" s="14">
        <f t="shared" si="1"/>
        <v>0</v>
      </c>
      <c r="T38" s="14">
        <f t="shared" si="2"/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 t="s">
        <v>6</v>
      </c>
      <c r="AB38" s="16"/>
      <c r="AC38" s="16"/>
      <c r="AD38" s="16"/>
    </row>
    <row r="39" ht="21.75" customHeight="1" spans="1:30">
      <c r="A39" s="7">
        <f>39-5</f>
        <v>34</v>
      </c>
      <c r="B39" s="9" t="s">
        <v>6</v>
      </c>
      <c r="C39" s="10" t="s">
        <v>6</v>
      </c>
      <c r="D39" s="10" t="s">
        <v>625</v>
      </c>
      <c r="E39" s="10" t="s">
        <v>6</v>
      </c>
      <c r="F39" s="10" t="s">
        <v>6</v>
      </c>
      <c r="G39" s="9" t="s">
        <v>6</v>
      </c>
      <c r="H39" s="9" t="s">
        <v>6</v>
      </c>
      <c r="I39" s="9" t="s">
        <v>6</v>
      </c>
      <c r="J39" s="9" t="s">
        <v>6</v>
      </c>
      <c r="K39" s="9" t="s">
        <v>6</v>
      </c>
      <c r="L39" s="14">
        <v>64</v>
      </c>
      <c r="M39" s="14">
        <f t="shared" si="0"/>
        <v>64</v>
      </c>
      <c r="N39" s="14">
        <v>64</v>
      </c>
      <c r="O39" s="14">
        <v>0</v>
      </c>
      <c r="P39" s="14">
        <v>0</v>
      </c>
      <c r="Q39" s="14">
        <v>0</v>
      </c>
      <c r="R39" s="14">
        <v>0</v>
      </c>
      <c r="S39" s="14">
        <f t="shared" si="1"/>
        <v>0</v>
      </c>
      <c r="T39" s="14">
        <f t="shared" si="2"/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 t="s">
        <v>6</v>
      </c>
      <c r="AB39" s="16"/>
      <c r="AC39" s="16"/>
      <c r="AD39" s="16"/>
    </row>
    <row r="40" ht="21.75" customHeight="1" spans="1:30">
      <c r="A40" s="7">
        <f>40-5</f>
        <v>35</v>
      </c>
      <c r="B40" s="9" t="s">
        <v>6</v>
      </c>
      <c r="C40" s="10" t="s">
        <v>6</v>
      </c>
      <c r="D40" s="10" t="s">
        <v>6</v>
      </c>
      <c r="E40" s="10" t="s">
        <v>626</v>
      </c>
      <c r="F40" s="10" t="s">
        <v>6</v>
      </c>
      <c r="G40" s="9" t="s">
        <v>6</v>
      </c>
      <c r="H40" s="9" t="s">
        <v>6</v>
      </c>
      <c r="I40" s="9" t="s">
        <v>6</v>
      </c>
      <c r="J40" s="9" t="s">
        <v>6</v>
      </c>
      <c r="K40" s="9" t="s">
        <v>6</v>
      </c>
      <c r="L40" s="14">
        <v>64</v>
      </c>
      <c r="M40" s="14">
        <f t="shared" si="0"/>
        <v>64</v>
      </c>
      <c r="N40" s="14">
        <v>64</v>
      </c>
      <c r="O40" s="14">
        <v>0</v>
      </c>
      <c r="P40" s="14">
        <v>0</v>
      </c>
      <c r="Q40" s="14">
        <v>0</v>
      </c>
      <c r="R40" s="14">
        <v>0</v>
      </c>
      <c r="S40" s="14">
        <f t="shared" si="1"/>
        <v>0</v>
      </c>
      <c r="T40" s="14">
        <f t="shared" si="2"/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 t="s">
        <v>6</v>
      </c>
      <c r="AB40" s="16"/>
      <c r="AC40" s="16"/>
      <c r="AD40" s="16"/>
    </row>
    <row r="41" ht="21.75" customHeight="1" spans="1:30">
      <c r="A41" s="7">
        <f>41-5</f>
        <v>36</v>
      </c>
      <c r="B41" s="9" t="s">
        <v>6</v>
      </c>
      <c r="C41" s="10" t="s">
        <v>6</v>
      </c>
      <c r="D41" s="10" t="s">
        <v>6</v>
      </c>
      <c r="E41" s="10" t="s">
        <v>6</v>
      </c>
      <c r="F41" s="10" t="s">
        <v>287</v>
      </c>
      <c r="G41" s="9" t="s">
        <v>6</v>
      </c>
      <c r="H41" s="9" t="s">
        <v>6</v>
      </c>
      <c r="I41" s="9" t="s">
        <v>6</v>
      </c>
      <c r="J41" s="9" t="s">
        <v>6</v>
      </c>
      <c r="K41" s="9" t="s">
        <v>6</v>
      </c>
      <c r="L41" s="14">
        <v>64</v>
      </c>
      <c r="M41" s="14">
        <f t="shared" si="0"/>
        <v>64</v>
      </c>
      <c r="N41" s="14">
        <v>64</v>
      </c>
      <c r="O41" s="14">
        <v>0</v>
      </c>
      <c r="P41" s="14">
        <v>0</v>
      </c>
      <c r="Q41" s="14">
        <v>0</v>
      </c>
      <c r="R41" s="14">
        <v>0</v>
      </c>
      <c r="S41" s="14">
        <f t="shared" si="1"/>
        <v>0</v>
      </c>
      <c r="T41" s="14">
        <f t="shared" si="2"/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 t="s">
        <v>6</v>
      </c>
      <c r="AB41" s="16"/>
      <c r="AC41" s="16"/>
      <c r="AD41" s="16"/>
    </row>
    <row r="42" ht="21.75" customHeight="1" spans="1:30">
      <c r="A42" s="7">
        <f>42-5</f>
        <v>37</v>
      </c>
      <c r="B42" s="9" t="s">
        <v>6</v>
      </c>
      <c r="C42" s="10" t="s">
        <v>6</v>
      </c>
      <c r="D42" s="10" t="s">
        <v>6</v>
      </c>
      <c r="E42" s="10" t="s">
        <v>6</v>
      </c>
      <c r="F42" s="10" t="s">
        <v>6</v>
      </c>
      <c r="G42" s="9" t="s">
        <v>288</v>
      </c>
      <c r="H42" s="9" t="s">
        <v>6</v>
      </c>
      <c r="I42" s="9" t="s">
        <v>6</v>
      </c>
      <c r="J42" s="9" t="s">
        <v>6</v>
      </c>
      <c r="K42" s="9" t="s">
        <v>6</v>
      </c>
      <c r="L42" s="14">
        <v>64</v>
      </c>
      <c r="M42" s="14">
        <f t="shared" si="0"/>
        <v>64</v>
      </c>
      <c r="N42" s="14">
        <v>64</v>
      </c>
      <c r="O42" s="14">
        <v>0</v>
      </c>
      <c r="P42" s="14">
        <v>0</v>
      </c>
      <c r="Q42" s="14">
        <v>0</v>
      </c>
      <c r="R42" s="14">
        <v>0</v>
      </c>
      <c r="S42" s="14">
        <f t="shared" si="1"/>
        <v>0</v>
      </c>
      <c r="T42" s="14">
        <f t="shared" si="2"/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 t="s">
        <v>6</v>
      </c>
      <c r="AB42" s="16"/>
      <c r="AC42" s="16"/>
      <c r="AD42" s="16"/>
    </row>
    <row r="43" ht="21.75" customHeight="1" spans="1:30">
      <c r="A43" s="7">
        <f>43-5</f>
        <v>38</v>
      </c>
      <c r="B43" s="9" t="s">
        <v>6</v>
      </c>
      <c r="C43" s="10" t="s">
        <v>6</v>
      </c>
      <c r="D43" s="10" t="s">
        <v>6</v>
      </c>
      <c r="E43" s="10" t="s">
        <v>6</v>
      </c>
      <c r="F43" s="10" t="s">
        <v>6</v>
      </c>
      <c r="G43" s="9" t="s">
        <v>6</v>
      </c>
      <c r="H43" s="9" t="s">
        <v>291</v>
      </c>
      <c r="I43" s="9" t="s">
        <v>627</v>
      </c>
      <c r="J43" s="9"/>
      <c r="K43" s="9" t="s">
        <v>559</v>
      </c>
      <c r="L43" s="14">
        <v>23</v>
      </c>
      <c r="M43" s="14">
        <f t="shared" si="0"/>
        <v>23</v>
      </c>
      <c r="N43" s="14">
        <v>23</v>
      </c>
      <c r="O43" s="14">
        <v>0</v>
      </c>
      <c r="P43" s="14">
        <v>0</v>
      </c>
      <c r="Q43" s="14">
        <v>0</v>
      </c>
      <c r="R43" s="14">
        <v>0</v>
      </c>
      <c r="S43" s="14">
        <f t="shared" si="1"/>
        <v>0</v>
      </c>
      <c r="T43" s="14">
        <f t="shared" si="2"/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 t="s">
        <v>612</v>
      </c>
      <c r="AB43" s="16"/>
      <c r="AC43" s="16"/>
      <c r="AD43" s="16"/>
    </row>
    <row r="44" ht="21.75" customHeight="1" spans="1:30">
      <c r="A44" s="7">
        <f>44-5</f>
        <v>39</v>
      </c>
      <c r="B44" s="9" t="s">
        <v>6</v>
      </c>
      <c r="C44" s="10" t="s">
        <v>6</v>
      </c>
      <c r="D44" s="10" t="s">
        <v>6</v>
      </c>
      <c r="E44" s="10" t="s">
        <v>6</v>
      </c>
      <c r="F44" s="10" t="s">
        <v>6</v>
      </c>
      <c r="G44" s="9" t="s">
        <v>6</v>
      </c>
      <c r="H44" s="9" t="s">
        <v>290</v>
      </c>
      <c r="I44" s="9" t="s">
        <v>627</v>
      </c>
      <c r="J44" s="9"/>
      <c r="K44" s="9" t="s">
        <v>559</v>
      </c>
      <c r="L44" s="14">
        <v>5</v>
      </c>
      <c r="M44" s="14">
        <f t="shared" si="0"/>
        <v>5</v>
      </c>
      <c r="N44" s="14">
        <v>5</v>
      </c>
      <c r="O44" s="14">
        <v>0</v>
      </c>
      <c r="P44" s="14">
        <v>0</v>
      </c>
      <c r="Q44" s="14">
        <v>0</v>
      </c>
      <c r="R44" s="14">
        <v>0</v>
      </c>
      <c r="S44" s="14">
        <f t="shared" si="1"/>
        <v>0</v>
      </c>
      <c r="T44" s="14">
        <f t="shared" si="2"/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 t="s">
        <v>612</v>
      </c>
      <c r="AB44" s="16"/>
      <c r="AC44" s="16"/>
      <c r="AD44" s="16"/>
    </row>
    <row r="45" ht="21.75" customHeight="1" spans="1:30">
      <c r="A45" s="7">
        <f>45-5</f>
        <v>40</v>
      </c>
      <c r="B45" s="9" t="s">
        <v>6</v>
      </c>
      <c r="C45" s="10" t="s">
        <v>6</v>
      </c>
      <c r="D45" s="10" t="s">
        <v>6</v>
      </c>
      <c r="E45" s="10" t="s">
        <v>6</v>
      </c>
      <c r="F45" s="10" t="s">
        <v>6</v>
      </c>
      <c r="G45" s="9" t="s">
        <v>6</v>
      </c>
      <c r="H45" s="9" t="s">
        <v>297</v>
      </c>
      <c r="I45" s="9" t="s">
        <v>628</v>
      </c>
      <c r="J45" s="9"/>
      <c r="K45" s="9" t="s">
        <v>559</v>
      </c>
      <c r="L45" s="14">
        <v>18</v>
      </c>
      <c r="M45" s="14">
        <f t="shared" si="0"/>
        <v>18</v>
      </c>
      <c r="N45" s="14">
        <v>18</v>
      </c>
      <c r="O45" s="14">
        <v>0</v>
      </c>
      <c r="P45" s="14">
        <v>0</v>
      </c>
      <c r="Q45" s="14">
        <v>0</v>
      </c>
      <c r="R45" s="14">
        <v>0</v>
      </c>
      <c r="S45" s="14">
        <f t="shared" si="1"/>
        <v>0</v>
      </c>
      <c r="T45" s="14">
        <f t="shared" si="2"/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 t="s">
        <v>612</v>
      </c>
      <c r="AB45" s="16"/>
      <c r="AC45" s="16"/>
      <c r="AD45" s="16"/>
    </row>
    <row r="46" ht="21.75" customHeight="1" spans="1:30">
      <c r="A46" s="7">
        <f>46-5</f>
        <v>41</v>
      </c>
      <c r="B46" s="9" t="s">
        <v>6</v>
      </c>
      <c r="C46" s="10" t="s">
        <v>6</v>
      </c>
      <c r="D46" s="10" t="s">
        <v>6</v>
      </c>
      <c r="E46" s="10" t="s">
        <v>6</v>
      </c>
      <c r="F46" s="10" t="s">
        <v>6</v>
      </c>
      <c r="G46" s="9" t="s">
        <v>6</v>
      </c>
      <c r="H46" s="9" t="s">
        <v>289</v>
      </c>
      <c r="I46" s="9" t="s">
        <v>627</v>
      </c>
      <c r="J46" s="9"/>
      <c r="K46" s="9" t="s">
        <v>559</v>
      </c>
      <c r="L46" s="14">
        <v>18</v>
      </c>
      <c r="M46" s="14">
        <f t="shared" si="0"/>
        <v>18</v>
      </c>
      <c r="N46" s="14">
        <v>18</v>
      </c>
      <c r="O46" s="14">
        <v>0</v>
      </c>
      <c r="P46" s="14">
        <v>0</v>
      </c>
      <c r="Q46" s="14">
        <v>0</v>
      </c>
      <c r="R46" s="14">
        <v>0</v>
      </c>
      <c r="S46" s="14">
        <f t="shared" si="1"/>
        <v>0</v>
      </c>
      <c r="T46" s="14">
        <f t="shared" si="2"/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 t="s">
        <v>612</v>
      </c>
      <c r="AB46" s="16"/>
      <c r="AC46" s="16"/>
      <c r="AD46" s="16"/>
    </row>
    <row r="47" ht="21.75" customHeight="1" spans="1:30">
      <c r="A47" s="7">
        <f>47-5</f>
        <v>42</v>
      </c>
      <c r="B47" s="9" t="s">
        <v>6</v>
      </c>
      <c r="C47" s="10" t="s">
        <v>6</v>
      </c>
      <c r="D47" s="10" t="s">
        <v>629</v>
      </c>
      <c r="E47" s="10" t="s">
        <v>6</v>
      </c>
      <c r="F47" s="10" t="s">
        <v>6</v>
      </c>
      <c r="G47" s="9" t="s">
        <v>6</v>
      </c>
      <c r="H47" s="9" t="s">
        <v>6</v>
      </c>
      <c r="I47" s="9" t="s">
        <v>6</v>
      </c>
      <c r="J47" s="9" t="s">
        <v>6</v>
      </c>
      <c r="K47" s="9" t="s">
        <v>6</v>
      </c>
      <c r="L47" s="14">
        <v>197</v>
      </c>
      <c r="M47" s="14">
        <f t="shared" si="0"/>
        <v>197</v>
      </c>
      <c r="N47" s="14">
        <v>197</v>
      </c>
      <c r="O47" s="14">
        <v>0</v>
      </c>
      <c r="P47" s="14">
        <v>0</v>
      </c>
      <c r="Q47" s="14">
        <v>0</v>
      </c>
      <c r="R47" s="14">
        <v>0</v>
      </c>
      <c r="S47" s="14">
        <f t="shared" si="1"/>
        <v>0</v>
      </c>
      <c r="T47" s="14">
        <f t="shared" si="2"/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 t="s">
        <v>6</v>
      </c>
      <c r="AB47" s="16"/>
      <c r="AC47" s="16"/>
      <c r="AD47" s="16"/>
    </row>
    <row r="48" ht="21.75" customHeight="1" spans="1:30">
      <c r="A48" s="7">
        <f>48-5</f>
        <v>43</v>
      </c>
      <c r="B48" s="9" t="s">
        <v>6</v>
      </c>
      <c r="C48" s="10" t="s">
        <v>6</v>
      </c>
      <c r="D48" s="10" t="s">
        <v>6</v>
      </c>
      <c r="E48" s="10" t="s">
        <v>630</v>
      </c>
      <c r="F48" s="10" t="s">
        <v>6</v>
      </c>
      <c r="G48" s="9" t="s">
        <v>6</v>
      </c>
      <c r="H48" s="9" t="s">
        <v>6</v>
      </c>
      <c r="I48" s="9" t="s">
        <v>6</v>
      </c>
      <c r="J48" s="9" t="s">
        <v>6</v>
      </c>
      <c r="K48" s="9" t="s">
        <v>6</v>
      </c>
      <c r="L48" s="14">
        <v>197</v>
      </c>
      <c r="M48" s="14">
        <f t="shared" si="0"/>
        <v>197</v>
      </c>
      <c r="N48" s="14">
        <v>197</v>
      </c>
      <c r="O48" s="14">
        <v>0</v>
      </c>
      <c r="P48" s="14">
        <v>0</v>
      </c>
      <c r="Q48" s="14">
        <v>0</v>
      </c>
      <c r="R48" s="14">
        <v>0</v>
      </c>
      <c r="S48" s="14">
        <f t="shared" si="1"/>
        <v>0</v>
      </c>
      <c r="T48" s="14">
        <f t="shared" si="2"/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 t="s">
        <v>6</v>
      </c>
      <c r="AB48" s="16"/>
      <c r="AC48" s="16"/>
      <c r="AD48" s="16"/>
    </row>
    <row r="49" ht="21.75" customHeight="1" spans="1:30">
      <c r="A49" s="7">
        <f>49-5</f>
        <v>44</v>
      </c>
      <c r="B49" s="9" t="s">
        <v>6</v>
      </c>
      <c r="C49" s="10" t="s">
        <v>6</v>
      </c>
      <c r="D49" s="10" t="s">
        <v>6</v>
      </c>
      <c r="E49" s="10" t="s">
        <v>6</v>
      </c>
      <c r="F49" s="10" t="s">
        <v>287</v>
      </c>
      <c r="G49" s="9" t="s">
        <v>6</v>
      </c>
      <c r="H49" s="9" t="s">
        <v>6</v>
      </c>
      <c r="I49" s="9" t="s">
        <v>6</v>
      </c>
      <c r="J49" s="9" t="s">
        <v>6</v>
      </c>
      <c r="K49" s="9" t="s">
        <v>6</v>
      </c>
      <c r="L49" s="14">
        <v>197</v>
      </c>
      <c r="M49" s="14">
        <f t="shared" si="0"/>
        <v>197</v>
      </c>
      <c r="N49" s="14">
        <v>197</v>
      </c>
      <c r="O49" s="14">
        <v>0</v>
      </c>
      <c r="P49" s="14">
        <v>0</v>
      </c>
      <c r="Q49" s="14">
        <v>0</v>
      </c>
      <c r="R49" s="14">
        <v>0</v>
      </c>
      <c r="S49" s="14">
        <f t="shared" si="1"/>
        <v>0</v>
      </c>
      <c r="T49" s="14">
        <f t="shared" si="2"/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 t="s">
        <v>6</v>
      </c>
      <c r="AB49" s="16"/>
      <c r="AC49" s="16"/>
      <c r="AD49" s="16"/>
    </row>
    <row r="50" ht="21.75" customHeight="1" spans="1:30">
      <c r="A50" s="7">
        <f>50-5</f>
        <v>45</v>
      </c>
      <c r="B50" s="9" t="s">
        <v>6</v>
      </c>
      <c r="C50" s="10" t="s">
        <v>6</v>
      </c>
      <c r="D50" s="10" t="s">
        <v>6</v>
      </c>
      <c r="E50" s="10" t="s">
        <v>6</v>
      </c>
      <c r="F50" s="10" t="s">
        <v>6</v>
      </c>
      <c r="G50" s="9" t="s">
        <v>310</v>
      </c>
      <c r="H50" s="9" t="s">
        <v>6</v>
      </c>
      <c r="I50" s="9" t="s">
        <v>6</v>
      </c>
      <c r="J50" s="9" t="s">
        <v>6</v>
      </c>
      <c r="K50" s="9" t="s">
        <v>6</v>
      </c>
      <c r="L50" s="14">
        <v>197</v>
      </c>
      <c r="M50" s="14">
        <f t="shared" si="0"/>
        <v>197</v>
      </c>
      <c r="N50" s="14">
        <v>197</v>
      </c>
      <c r="O50" s="14">
        <v>0</v>
      </c>
      <c r="P50" s="14">
        <v>0</v>
      </c>
      <c r="Q50" s="14">
        <v>0</v>
      </c>
      <c r="R50" s="14">
        <v>0</v>
      </c>
      <c r="S50" s="14">
        <f t="shared" si="1"/>
        <v>0</v>
      </c>
      <c r="T50" s="14">
        <f t="shared" si="2"/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 t="s">
        <v>6</v>
      </c>
      <c r="AB50" s="16"/>
      <c r="AC50" s="16"/>
      <c r="AD50" s="16"/>
    </row>
    <row r="51" ht="21.75" customHeight="1" spans="1:30">
      <c r="A51" s="7">
        <f>51-5</f>
        <v>46</v>
      </c>
      <c r="B51" s="9" t="s">
        <v>6</v>
      </c>
      <c r="C51" s="10" t="s">
        <v>6</v>
      </c>
      <c r="D51" s="10" t="s">
        <v>6</v>
      </c>
      <c r="E51" s="10" t="s">
        <v>6</v>
      </c>
      <c r="F51" s="10" t="s">
        <v>6</v>
      </c>
      <c r="G51" s="9" t="s">
        <v>6</v>
      </c>
      <c r="H51" s="9" t="s">
        <v>313</v>
      </c>
      <c r="I51" s="9" t="s">
        <v>631</v>
      </c>
      <c r="J51" s="9"/>
      <c r="K51" s="9" t="s">
        <v>559</v>
      </c>
      <c r="L51" s="14">
        <v>28</v>
      </c>
      <c r="M51" s="14">
        <f t="shared" si="0"/>
        <v>28</v>
      </c>
      <c r="N51" s="14">
        <v>28</v>
      </c>
      <c r="O51" s="14">
        <v>0</v>
      </c>
      <c r="P51" s="14">
        <v>0</v>
      </c>
      <c r="Q51" s="14">
        <v>0</v>
      </c>
      <c r="R51" s="14">
        <v>0</v>
      </c>
      <c r="S51" s="14">
        <f t="shared" si="1"/>
        <v>0</v>
      </c>
      <c r="T51" s="14">
        <f t="shared" si="2"/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 t="s">
        <v>612</v>
      </c>
      <c r="AB51" s="16"/>
      <c r="AC51" s="16"/>
      <c r="AD51" s="16"/>
    </row>
    <row r="52" ht="21.75" customHeight="1" spans="1:30">
      <c r="A52" s="7">
        <f>52-5</f>
        <v>47</v>
      </c>
      <c r="B52" s="9" t="s">
        <v>6</v>
      </c>
      <c r="C52" s="10" t="s">
        <v>6</v>
      </c>
      <c r="D52" s="10" t="s">
        <v>6</v>
      </c>
      <c r="E52" s="10" t="s">
        <v>6</v>
      </c>
      <c r="F52" s="10" t="s">
        <v>6</v>
      </c>
      <c r="G52" s="9" t="s">
        <v>6</v>
      </c>
      <c r="H52" s="9" t="s">
        <v>312</v>
      </c>
      <c r="I52" s="9" t="s">
        <v>631</v>
      </c>
      <c r="J52" s="9"/>
      <c r="K52" s="9" t="s">
        <v>559</v>
      </c>
      <c r="L52" s="14">
        <v>26</v>
      </c>
      <c r="M52" s="14">
        <f t="shared" si="0"/>
        <v>26</v>
      </c>
      <c r="N52" s="14">
        <v>26</v>
      </c>
      <c r="O52" s="14">
        <v>0</v>
      </c>
      <c r="P52" s="14">
        <v>0</v>
      </c>
      <c r="Q52" s="14">
        <v>0</v>
      </c>
      <c r="R52" s="14">
        <v>0</v>
      </c>
      <c r="S52" s="14">
        <f t="shared" si="1"/>
        <v>0</v>
      </c>
      <c r="T52" s="14">
        <f t="shared" si="2"/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 t="s">
        <v>612</v>
      </c>
      <c r="AB52" s="16"/>
      <c r="AC52" s="16"/>
      <c r="AD52" s="16"/>
    </row>
    <row r="53" ht="21.75" customHeight="1" spans="1:30">
      <c r="A53" s="7">
        <f>53-5</f>
        <v>48</v>
      </c>
      <c r="B53" s="9" t="s">
        <v>6</v>
      </c>
      <c r="C53" s="10" t="s">
        <v>6</v>
      </c>
      <c r="D53" s="10" t="s">
        <v>6</v>
      </c>
      <c r="E53" s="10" t="s">
        <v>6</v>
      </c>
      <c r="F53" s="10" t="s">
        <v>6</v>
      </c>
      <c r="G53" s="9" t="s">
        <v>6</v>
      </c>
      <c r="H53" s="9" t="s">
        <v>314</v>
      </c>
      <c r="I53" s="9" t="s">
        <v>631</v>
      </c>
      <c r="J53" s="9"/>
      <c r="K53" s="9" t="s">
        <v>559</v>
      </c>
      <c r="L53" s="14">
        <v>15</v>
      </c>
      <c r="M53" s="14">
        <f t="shared" si="0"/>
        <v>15</v>
      </c>
      <c r="N53" s="14">
        <v>15</v>
      </c>
      <c r="O53" s="14">
        <v>0</v>
      </c>
      <c r="P53" s="14">
        <v>0</v>
      </c>
      <c r="Q53" s="14">
        <v>0</v>
      </c>
      <c r="R53" s="14">
        <v>0</v>
      </c>
      <c r="S53" s="14">
        <f t="shared" si="1"/>
        <v>0</v>
      </c>
      <c r="T53" s="14">
        <f t="shared" si="2"/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 t="s">
        <v>612</v>
      </c>
      <c r="AB53" s="16"/>
      <c r="AC53" s="16"/>
      <c r="AD53" s="16"/>
    </row>
    <row r="54" ht="21.75" customHeight="1" spans="1:30">
      <c r="A54" s="7">
        <f>54-5</f>
        <v>49</v>
      </c>
      <c r="B54" s="9" t="s">
        <v>6</v>
      </c>
      <c r="C54" s="10" t="s">
        <v>6</v>
      </c>
      <c r="D54" s="10" t="s">
        <v>6</v>
      </c>
      <c r="E54" s="10" t="s">
        <v>6</v>
      </c>
      <c r="F54" s="10" t="s">
        <v>6</v>
      </c>
      <c r="G54" s="9" t="s">
        <v>6</v>
      </c>
      <c r="H54" s="9" t="s">
        <v>311</v>
      </c>
      <c r="I54" s="9" t="s">
        <v>631</v>
      </c>
      <c r="J54" s="9"/>
      <c r="K54" s="9" t="s">
        <v>559</v>
      </c>
      <c r="L54" s="14">
        <v>128</v>
      </c>
      <c r="M54" s="14">
        <f t="shared" si="0"/>
        <v>128</v>
      </c>
      <c r="N54" s="14">
        <v>128</v>
      </c>
      <c r="O54" s="14">
        <v>0</v>
      </c>
      <c r="P54" s="14">
        <v>0</v>
      </c>
      <c r="Q54" s="14">
        <v>0</v>
      </c>
      <c r="R54" s="14">
        <v>0</v>
      </c>
      <c r="S54" s="14">
        <f t="shared" si="1"/>
        <v>0</v>
      </c>
      <c r="T54" s="14">
        <f t="shared" si="2"/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 t="s">
        <v>612</v>
      </c>
      <c r="AB54" s="16"/>
      <c r="AC54" s="16"/>
      <c r="AD54" s="16"/>
    </row>
    <row r="55" ht="21.75" customHeight="1" spans="1:30">
      <c r="A55" s="7">
        <f>55-5</f>
        <v>50</v>
      </c>
      <c r="B55" s="9" t="s">
        <v>6</v>
      </c>
      <c r="C55" s="10" t="s">
        <v>6</v>
      </c>
      <c r="D55" s="10" t="s">
        <v>632</v>
      </c>
      <c r="E55" s="10" t="s">
        <v>6</v>
      </c>
      <c r="F55" s="10" t="s">
        <v>6</v>
      </c>
      <c r="G55" s="9" t="s">
        <v>6</v>
      </c>
      <c r="H55" s="9" t="s">
        <v>6</v>
      </c>
      <c r="I55" s="9" t="s">
        <v>6</v>
      </c>
      <c r="J55" s="9" t="s">
        <v>6</v>
      </c>
      <c r="K55" s="9" t="s">
        <v>6</v>
      </c>
      <c r="L55" s="14">
        <v>15</v>
      </c>
      <c r="M55" s="14">
        <f t="shared" si="0"/>
        <v>15</v>
      </c>
      <c r="N55" s="14">
        <v>15</v>
      </c>
      <c r="O55" s="14">
        <v>0</v>
      </c>
      <c r="P55" s="14">
        <v>0</v>
      </c>
      <c r="Q55" s="14">
        <v>0</v>
      </c>
      <c r="R55" s="14">
        <v>0</v>
      </c>
      <c r="S55" s="14">
        <f t="shared" si="1"/>
        <v>0</v>
      </c>
      <c r="T55" s="14">
        <f t="shared" si="2"/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 t="s">
        <v>6</v>
      </c>
      <c r="AB55" s="16"/>
      <c r="AC55" s="16"/>
      <c r="AD55" s="16"/>
    </row>
    <row r="56" ht="21.75" customHeight="1" spans="1:30">
      <c r="A56" s="7">
        <f>56-5</f>
        <v>51</v>
      </c>
      <c r="B56" s="9" t="s">
        <v>6</v>
      </c>
      <c r="C56" s="10" t="s">
        <v>6</v>
      </c>
      <c r="D56" s="10" t="s">
        <v>6</v>
      </c>
      <c r="E56" s="10" t="s">
        <v>633</v>
      </c>
      <c r="F56" s="10" t="s">
        <v>6</v>
      </c>
      <c r="G56" s="9" t="s">
        <v>6</v>
      </c>
      <c r="H56" s="9" t="s">
        <v>6</v>
      </c>
      <c r="I56" s="9" t="s">
        <v>6</v>
      </c>
      <c r="J56" s="9" t="s">
        <v>6</v>
      </c>
      <c r="K56" s="9" t="s">
        <v>6</v>
      </c>
      <c r="L56" s="14">
        <v>15</v>
      </c>
      <c r="M56" s="14">
        <f t="shared" si="0"/>
        <v>15</v>
      </c>
      <c r="N56" s="14">
        <v>15</v>
      </c>
      <c r="O56" s="14">
        <v>0</v>
      </c>
      <c r="P56" s="14">
        <v>0</v>
      </c>
      <c r="Q56" s="14">
        <v>0</v>
      </c>
      <c r="R56" s="14">
        <v>0</v>
      </c>
      <c r="S56" s="14">
        <f t="shared" si="1"/>
        <v>0</v>
      </c>
      <c r="T56" s="14">
        <f t="shared" si="2"/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 t="s">
        <v>6</v>
      </c>
      <c r="AB56" s="16"/>
      <c r="AC56" s="16"/>
      <c r="AD56" s="16"/>
    </row>
    <row r="57" ht="21.75" customHeight="1" spans="1:30">
      <c r="A57" s="7">
        <f>57-5</f>
        <v>52</v>
      </c>
      <c r="B57" s="9" t="s">
        <v>6</v>
      </c>
      <c r="C57" s="10" t="s">
        <v>6</v>
      </c>
      <c r="D57" s="10" t="s">
        <v>6</v>
      </c>
      <c r="E57" s="10" t="s">
        <v>6</v>
      </c>
      <c r="F57" s="10" t="s">
        <v>287</v>
      </c>
      <c r="G57" s="9" t="s">
        <v>6</v>
      </c>
      <c r="H57" s="9" t="s">
        <v>6</v>
      </c>
      <c r="I57" s="9" t="s">
        <v>6</v>
      </c>
      <c r="J57" s="9" t="s">
        <v>6</v>
      </c>
      <c r="K57" s="9" t="s">
        <v>6</v>
      </c>
      <c r="L57" s="14">
        <v>15</v>
      </c>
      <c r="M57" s="14">
        <f t="shared" si="0"/>
        <v>15</v>
      </c>
      <c r="N57" s="14">
        <v>15</v>
      </c>
      <c r="O57" s="14">
        <v>0</v>
      </c>
      <c r="P57" s="14">
        <v>0</v>
      </c>
      <c r="Q57" s="14">
        <v>0</v>
      </c>
      <c r="R57" s="14">
        <v>0</v>
      </c>
      <c r="S57" s="14">
        <f t="shared" si="1"/>
        <v>0</v>
      </c>
      <c r="T57" s="14">
        <f t="shared" si="2"/>
        <v>0</v>
      </c>
      <c r="U57" s="14">
        <v>0</v>
      </c>
      <c r="V57" s="14">
        <v>0</v>
      </c>
      <c r="W57" s="14">
        <v>0</v>
      </c>
      <c r="X57" s="14">
        <v>0</v>
      </c>
      <c r="Y57" s="14">
        <v>0</v>
      </c>
      <c r="Z57" s="14">
        <v>0</v>
      </c>
      <c r="AA57" s="14" t="s">
        <v>6</v>
      </c>
      <c r="AB57" s="16"/>
      <c r="AC57" s="16"/>
      <c r="AD57" s="16"/>
    </row>
    <row r="58" ht="21.75" customHeight="1" spans="1:30">
      <c r="A58" s="7">
        <f>58-5</f>
        <v>53</v>
      </c>
      <c r="B58" s="9" t="s">
        <v>6</v>
      </c>
      <c r="C58" s="10" t="s">
        <v>6</v>
      </c>
      <c r="D58" s="10" t="s">
        <v>6</v>
      </c>
      <c r="E58" s="10" t="s">
        <v>6</v>
      </c>
      <c r="F58" s="10" t="s">
        <v>6</v>
      </c>
      <c r="G58" s="9" t="s">
        <v>323</v>
      </c>
      <c r="H58" s="9" t="s">
        <v>6</v>
      </c>
      <c r="I58" s="9" t="s">
        <v>6</v>
      </c>
      <c r="J58" s="9" t="s">
        <v>6</v>
      </c>
      <c r="K58" s="9" t="s">
        <v>6</v>
      </c>
      <c r="L58" s="14">
        <v>15</v>
      </c>
      <c r="M58" s="14">
        <f t="shared" si="0"/>
        <v>15</v>
      </c>
      <c r="N58" s="14">
        <v>15</v>
      </c>
      <c r="O58" s="14">
        <v>0</v>
      </c>
      <c r="P58" s="14">
        <v>0</v>
      </c>
      <c r="Q58" s="14">
        <v>0</v>
      </c>
      <c r="R58" s="14">
        <v>0</v>
      </c>
      <c r="S58" s="14">
        <f t="shared" si="1"/>
        <v>0</v>
      </c>
      <c r="T58" s="14">
        <f t="shared" si="2"/>
        <v>0</v>
      </c>
      <c r="U58" s="14">
        <v>0</v>
      </c>
      <c r="V58" s="14">
        <v>0</v>
      </c>
      <c r="W58" s="14">
        <v>0</v>
      </c>
      <c r="X58" s="14">
        <v>0</v>
      </c>
      <c r="Y58" s="14">
        <v>0</v>
      </c>
      <c r="Z58" s="14">
        <v>0</v>
      </c>
      <c r="AA58" s="14" t="s">
        <v>6</v>
      </c>
      <c r="AB58" s="16"/>
      <c r="AC58" s="16"/>
      <c r="AD58" s="16"/>
    </row>
    <row r="59" ht="21.75" customHeight="1" spans="1:30">
      <c r="A59" s="7">
        <f>59-5</f>
        <v>54</v>
      </c>
      <c r="B59" s="9" t="s">
        <v>6</v>
      </c>
      <c r="C59" s="10" t="s">
        <v>6</v>
      </c>
      <c r="D59" s="10" t="s">
        <v>6</v>
      </c>
      <c r="E59" s="10" t="s">
        <v>6</v>
      </c>
      <c r="F59" s="10" t="s">
        <v>6</v>
      </c>
      <c r="G59" s="9" t="s">
        <v>6</v>
      </c>
      <c r="H59" s="9" t="s">
        <v>324</v>
      </c>
      <c r="I59" s="9" t="s">
        <v>634</v>
      </c>
      <c r="J59" s="9"/>
      <c r="K59" s="9" t="s">
        <v>559</v>
      </c>
      <c r="L59" s="14">
        <v>15</v>
      </c>
      <c r="M59" s="14">
        <f t="shared" si="0"/>
        <v>15</v>
      </c>
      <c r="N59" s="14">
        <v>15</v>
      </c>
      <c r="O59" s="14">
        <v>0</v>
      </c>
      <c r="P59" s="14">
        <v>0</v>
      </c>
      <c r="Q59" s="14">
        <v>0</v>
      </c>
      <c r="R59" s="14">
        <v>0</v>
      </c>
      <c r="S59" s="14">
        <f t="shared" si="1"/>
        <v>0</v>
      </c>
      <c r="T59" s="14">
        <f t="shared" si="2"/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 t="s">
        <v>612</v>
      </c>
      <c r="AB59" s="16"/>
      <c r="AC59" s="16"/>
      <c r="AD59" s="16"/>
    </row>
    <row r="60" ht="21.75" customHeight="1" spans="1:30">
      <c r="A60" s="7">
        <f>60-5</f>
        <v>55</v>
      </c>
      <c r="B60" s="9" t="s">
        <v>6</v>
      </c>
      <c r="C60" s="10" t="s">
        <v>635</v>
      </c>
      <c r="D60" s="10" t="s">
        <v>6</v>
      </c>
      <c r="E60" s="10" t="s">
        <v>6</v>
      </c>
      <c r="F60" s="10" t="s">
        <v>6</v>
      </c>
      <c r="G60" s="9" t="s">
        <v>6</v>
      </c>
      <c r="H60" s="9" t="s">
        <v>6</v>
      </c>
      <c r="I60" s="9" t="s">
        <v>6</v>
      </c>
      <c r="J60" s="9" t="s">
        <v>6</v>
      </c>
      <c r="K60" s="9" t="s">
        <v>6</v>
      </c>
      <c r="L60" s="14">
        <v>99.53</v>
      </c>
      <c r="M60" s="14">
        <f t="shared" si="0"/>
        <v>99.53</v>
      </c>
      <c r="N60" s="14">
        <v>99.53</v>
      </c>
      <c r="O60" s="14">
        <v>0</v>
      </c>
      <c r="P60" s="14">
        <v>0</v>
      </c>
      <c r="Q60" s="14">
        <v>0</v>
      </c>
      <c r="R60" s="14">
        <v>0</v>
      </c>
      <c r="S60" s="14">
        <f t="shared" si="1"/>
        <v>0</v>
      </c>
      <c r="T60" s="14">
        <f t="shared" si="2"/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 t="s">
        <v>6</v>
      </c>
      <c r="AB60" s="16"/>
      <c r="AC60" s="16"/>
      <c r="AD60" s="16"/>
    </row>
    <row r="61" ht="21.75" customHeight="1" spans="1:30">
      <c r="A61" s="7">
        <f>61-5</f>
        <v>56</v>
      </c>
      <c r="B61" s="9" t="s">
        <v>6</v>
      </c>
      <c r="C61" s="10" t="s">
        <v>6</v>
      </c>
      <c r="D61" s="10" t="s">
        <v>636</v>
      </c>
      <c r="E61" s="10" t="s">
        <v>6</v>
      </c>
      <c r="F61" s="10" t="s">
        <v>6</v>
      </c>
      <c r="G61" s="9" t="s">
        <v>6</v>
      </c>
      <c r="H61" s="9" t="s">
        <v>6</v>
      </c>
      <c r="I61" s="9" t="s">
        <v>6</v>
      </c>
      <c r="J61" s="9" t="s">
        <v>6</v>
      </c>
      <c r="K61" s="9" t="s">
        <v>6</v>
      </c>
      <c r="L61" s="14">
        <v>61</v>
      </c>
      <c r="M61" s="14">
        <f t="shared" si="0"/>
        <v>61</v>
      </c>
      <c r="N61" s="14">
        <v>61</v>
      </c>
      <c r="O61" s="14">
        <v>0</v>
      </c>
      <c r="P61" s="14">
        <v>0</v>
      </c>
      <c r="Q61" s="14">
        <v>0</v>
      </c>
      <c r="R61" s="14">
        <v>0</v>
      </c>
      <c r="S61" s="14">
        <f t="shared" si="1"/>
        <v>0</v>
      </c>
      <c r="T61" s="14">
        <f t="shared" si="2"/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 t="s">
        <v>6</v>
      </c>
      <c r="AB61" s="16"/>
      <c r="AC61" s="16"/>
      <c r="AD61" s="16"/>
    </row>
    <row r="62" ht="21.75" customHeight="1" spans="1:30">
      <c r="A62" s="7">
        <f>62-5</f>
        <v>57</v>
      </c>
      <c r="B62" s="9" t="s">
        <v>6</v>
      </c>
      <c r="C62" s="10" t="s">
        <v>6</v>
      </c>
      <c r="D62" s="10" t="s">
        <v>6</v>
      </c>
      <c r="E62" s="10" t="s">
        <v>637</v>
      </c>
      <c r="F62" s="10" t="s">
        <v>6</v>
      </c>
      <c r="G62" s="9" t="s">
        <v>6</v>
      </c>
      <c r="H62" s="9" t="s">
        <v>6</v>
      </c>
      <c r="I62" s="9" t="s">
        <v>6</v>
      </c>
      <c r="J62" s="9" t="s">
        <v>6</v>
      </c>
      <c r="K62" s="9" t="s">
        <v>6</v>
      </c>
      <c r="L62" s="14">
        <v>61</v>
      </c>
      <c r="M62" s="14">
        <f t="shared" si="0"/>
        <v>61</v>
      </c>
      <c r="N62" s="14">
        <v>61</v>
      </c>
      <c r="O62" s="14">
        <v>0</v>
      </c>
      <c r="P62" s="14">
        <v>0</v>
      </c>
      <c r="Q62" s="14">
        <v>0</v>
      </c>
      <c r="R62" s="14">
        <v>0</v>
      </c>
      <c r="S62" s="14">
        <f t="shared" si="1"/>
        <v>0</v>
      </c>
      <c r="T62" s="14">
        <f t="shared" si="2"/>
        <v>0</v>
      </c>
      <c r="U62" s="14">
        <v>0</v>
      </c>
      <c r="V62" s="14">
        <v>0</v>
      </c>
      <c r="W62" s="14">
        <v>0</v>
      </c>
      <c r="X62" s="14">
        <v>0</v>
      </c>
      <c r="Y62" s="14">
        <v>0</v>
      </c>
      <c r="Z62" s="14">
        <v>0</v>
      </c>
      <c r="AA62" s="14" t="s">
        <v>6</v>
      </c>
      <c r="AB62" s="16"/>
      <c r="AC62" s="16"/>
      <c r="AD62" s="16"/>
    </row>
    <row r="63" ht="21.75" customHeight="1" spans="1:30">
      <c r="A63" s="7">
        <f>63-5</f>
        <v>58</v>
      </c>
      <c r="B63" s="9" t="s">
        <v>6</v>
      </c>
      <c r="C63" s="10" t="s">
        <v>6</v>
      </c>
      <c r="D63" s="10" t="s">
        <v>6</v>
      </c>
      <c r="E63" s="10" t="s">
        <v>6</v>
      </c>
      <c r="F63" s="10" t="s">
        <v>328</v>
      </c>
      <c r="G63" s="9" t="s">
        <v>6</v>
      </c>
      <c r="H63" s="9" t="s">
        <v>6</v>
      </c>
      <c r="I63" s="9" t="s">
        <v>6</v>
      </c>
      <c r="J63" s="9" t="s">
        <v>6</v>
      </c>
      <c r="K63" s="9" t="s">
        <v>6</v>
      </c>
      <c r="L63" s="14">
        <v>61</v>
      </c>
      <c r="M63" s="14">
        <f t="shared" si="0"/>
        <v>61</v>
      </c>
      <c r="N63" s="14">
        <v>61</v>
      </c>
      <c r="O63" s="14">
        <v>0</v>
      </c>
      <c r="P63" s="14">
        <v>0</v>
      </c>
      <c r="Q63" s="14">
        <v>0</v>
      </c>
      <c r="R63" s="14">
        <v>0</v>
      </c>
      <c r="S63" s="14">
        <f t="shared" si="1"/>
        <v>0</v>
      </c>
      <c r="T63" s="14">
        <f t="shared" si="2"/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 t="s">
        <v>6</v>
      </c>
      <c r="AB63" s="16"/>
      <c r="AC63" s="16"/>
      <c r="AD63" s="16"/>
    </row>
    <row r="64" ht="21.75" customHeight="1" spans="1:30">
      <c r="A64" s="7">
        <f>64-5</f>
        <v>59</v>
      </c>
      <c r="B64" s="9" t="s">
        <v>6</v>
      </c>
      <c r="C64" s="10" t="s">
        <v>6</v>
      </c>
      <c r="D64" s="10" t="s">
        <v>6</v>
      </c>
      <c r="E64" s="10" t="s">
        <v>6</v>
      </c>
      <c r="F64" s="10" t="s">
        <v>6</v>
      </c>
      <c r="G64" s="9" t="s">
        <v>329</v>
      </c>
      <c r="H64" s="9" t="s">
        <v>6</v>
      </c>
      <c r="I64" s="9" t="s">
        <v>6</v>
      </c>
      <c r="J64" s="9" t="s">
        <v>6</v>
      </c>
      <c r="K64" s="9" t="s">
        <v>6</v>
      </c>
      <c r="L64" s="14">
        <v>61</v>
      </c>
      <c r="M64" s="14">
        <f t="shared" si="0"/>
        <v>61</v>
      </c>
      <c r="N64" s="14">
        <v>61</v>
      </c>
      <c r="O64" s="14">
        <v>0</v>
      </c>
      <c r="P64" s="14">
        <v>0</v>
      </c>
      <c r="Q64" s="14">
        <v>0</v>
      </c>
      <c r="R64" s="14">
        <v>0</v>
      </c>
      <c r="S64" s="14">
        <f t="shared" si="1"/>
        <v>0</v>
      </c>
      <c r="T64" s="14">
        <f t="shared" si="2"/>
        <v>0</v>
      </c>
      <c r="U64" s="14">
        <v>0</v>
      </c>
      <c r="V64" s="14">
        <v>0</v>
      </c>
      <c r="W64" s="14">
        <v>0</v>
      </c>
      <c r="X64" s="14">
        <v>0</v>
      </c>
      <c r="Y64" s="14">
        <v>0</v>
      </c>
      <c r="Z64" s="14">
        <v>0</v>
      </c>
      <c r="AA64" s="14" t="s">
        <v>6</v>
      </c>
      <c r="AB64" s="16"/>
      <c r="AC64" s="16"/>
      <c r="AD64" s="16"/>
    </row>
    <row r="65" ht="21.75" customHeight="1" spans="1:30">
      <c r="A65" s="7">
        <f>65-5</f>
        <v>60</v>
      </c>
      <c r="B65" s="9" t="s">
        <v>6</v>
      </c>
      <c r="C65" s="10" t="s">
        <v>6</v>
      </c>
      <c r="D65" s="10" t="s">
        <v>6</v>
      </c>
      <c r="E65" s="10" t="s">
        <v>6</v>
      </c>
      <c r="F65" s="10" t="s">
        <v>6</v>
      </c>
      <c r="G65" s="9" t="s">
        <v>6</v>
      </c>
      <c r="H65" s="9" t="s">
        <v>332</v>
      </c>
      <c r="I65" s="9" t="s">
        <v>638</v>
      </c>
      <c r="J65" s="9"/>
      <c r="K65" s="9" t="s">
        <v>559</v>
      </c>
      <c r="L65" s="14">
        <v>25</v>
      </c>
      <c r="M65" s="14">
        <f t="shared" si="0"/>
        <v>25</v>
      </c>
      <c r="N65" s="14">
        <v>25</v>
      </c>
      <c r="O65" s="14">
        <v>0</v>
      </c>
      <c r="P65" s="14">
        <v>0</v>
      </c>
      <c r="Q65" s="14">
        <v>0</v>
      </c>
      <c r="R65" s="14">
        <v>0</v>
      </c>
      <c r="S65" s="14">
        <f t="shared" si="1"/>
        <v>0</v>
      </c>
      <c r="T65" s="14">
        <f t="shared" si="2"/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 t="s">
        <v>612</v>
      </c>
      <c r="AB65" s="16"/>
      <c r="AC65" s="16"/>
      <c r="AD65" s="16"/>
    </row>
    <row r="66" ht="21.75" customHeight="1" spans="1:30">
      <c r="A66" s="7">
        <f>66-5</f>
        <v>61</v>
      </c>
      <c r="B66" s="9" t="s">
        <v>6</v>
      </c>
      <c r="C66" s="10" t="s">
        <v>6</v>
      </c>
      <c r="D66" s="10" t="s">
        <v>6</v>
      </c>
      <c r="E66" s="10" t="s">
        <v>6</v>
      </c>
      <c r="F66" s="10" t="s">
        <v>6</v>
      </c>
      <c r="G66" s="9" t="s">
        <v>6</v>
      </c>
      <c r="H66" s="9" t="s">
        <v>333</v>
      </c>
      <c r="I66" s="9" t="s">
        <v>622</v>
      </c>
      <c r="J66" s="9"/>
      <c r="K66" s="9" t="s">
        <v>559</v>
      </c>
      <c r="L66" s="14">
        <v>36</v>
      </c>
      <c r="M66" s="14">
        <f t="shared" si="0"/>
        <v>36</v>
      </c>
      <c r="N66" s="14">
        <v>36</v>
      </c>
      <c r="O66" s="14">
        <v>0</v>
      </c>
      <c r="P66" s="14">
        <v>0</v>
      </c>
      <c r="Q66" s="14">
        <v>0</v>
      </c>
      <c r="R66" s="14">
        <v>0</v>
      </c>
      <c r="S66" s="14">
        <f t="shared" si="1"/>
        <v>0</v>
      </c>
      <c r="T66" s="14">
        <f t="shared" si="2"/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 t="s">
        <v>612</v>
      </c>
      <c r="AB66" s="16"/>
      <c r="AC66" s="16"/>
      <c r="AD66" s="16"/>
    </row>
    <row r="67" ht="21.75" customHeight="1" spans="1:30">
      <c r="A67" s="7">
        <f>67-5</f>
        <v>62</v>
      </c>
      <c r="B67" s="9" t="s">
        <v>6</v>
      </c>
      <c r="C67" s="10" t="s">
        <v>6</v>
      </c>
      <c r="D67" s="10" t="s">
        <v>639</v>
      </c>
      <c r="E67" s="10" t="s">
        <v>6</v>
      </c>
      <c r="F67" s="10" t="s">
        <v>6</v>
      </c>
      <c r="G67" s="9" t="s">
        <v>6</v>
      </c>
      <c r="H67" s="9" t="s">
        <v>6</v>
      </c>
      <c r="I67" s="9" t="s">
        <v>6</v>
      </c>
      <c r="J67" s="9" t="s">
        <v>6</v>
      </c>
      <c r="K67" s="9" t="s">
        <v>6</v>
      </c>
      <c r="L67" s="14">
        <v>38.53</v>
      </c>
      <c r="M67" s="14">
        <f t="shared" si="0"/>
        <v>38.53</v>
      </c>
      <c r="N67" s="14">
        <v>38.53</v>
      </c>
      <c r="O67" s="14">
        <v>0</v>
      </c>
      <c r="P67" s="14">
        <v>0</v>
      </c>
      <c r="Q67" s="14">
        <v>0</v>
      </c>
      <c r="R67" s="14">
        <v>0</v>
      </c>
      <c r="S67" s="14">
        <f t="shared" si="1"/>
        <v>0</v>
      </c>
      <c r="T67" s="14">
        <f t="shared" si="2"/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 t="s">
        <v>6</v>
      </c>
      <c r="AB67" s="16"/>
      <c r="AC67" s="16"/>
      <c r="AD67" s="16"/>
    </row>
    <row r="68" ht="21.75" customHeight="1" spans="1:30">
      <c r="A68" s="7">
        <f>68-5</f>
        <v>63</v>
      </c>
      <c r="B68" s="9" t="s">
        <v>6</v>
      </c>
      <c r="C68" s="10" t="s">
        <v>6</v>
      </c>
      <c r="D68" s="10" t="s">
        <v>6</v>
      </c>
      <c r="E68" s="10" t="s">
        <v>640</v>
      </c>
      <c r="F68" s="10" t="s">
        <v>6</v>
      </c>
      <c r="G68" s="9" t="s">
        <v>6</v>
      </c>
      <c r="H68" s="9" t="s">
        <v>6</v>
      </c>
      <c r="I68" s="9" t="s">
        <v>6</v>
      </c>
      <c r="J68" s="9" t="s">
        <v>6</v>
      </c>
      <c r="K68" s="9" t="s">
        <v>6</v>
      </c>
      <c r="L68" s="14">
        <v>38.53</v>
      </c>
      <c r="M68" s="14">
        <f t="shared" si="0"/>
        <v>38.53</v>
      </c>
      <c r="N68" s="14">
        <v>38.53</v>
      </c>
      <c r="O68" s="14">
        <v>0</v>
      </c>
      <c r="P68" s="14">
        <v>0</v>
      </c>
      <c r="Q68" s="14">
        <v>0</v>
      </c>
      <c r="R68" s="14">
        <v>0</v>
      </c>
      <c r="S68" s="14">
        <f t="shared" si="1"/>
        <v>0</v>
      </c>
      <c r="T68" s="14">
        <f t="shared" si="2"/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 t="s">
        <v>6</v>
      </c>
      <c r="AB68" s="16"/>
      <c r="AC68" s="16"/>
      <c r="AD68" s="16"/>
    </row>
    <row r="69" ht="21.75" customHeight="1" spans="1:30">
      <c r="A69" s="7">
        <f>69-5</f>
        <v>64</v>
      </c>
      <c r="B69" s="9" t="s">
        <v>6</v>
      </c>
      <c r="C69" s="10" t="s">
        <v>6</v>
      </c>
      <c r="D69" s="10" t="s">
        <v>6</v>
      </c>
      <c r="E69" s="10" t="s">
        <v>6</v>
      </c>
      <c r="F69" s="10" t="s">
        <v>328</v>
      </c>
      <c r="G69" s="9" t="s">
        <v>6</v>
      </c>
      <c r="H69" s="9" t="s">
        <v>6</v>
      </c>
      <c r="I69" s="9" t="s">
        <v>6</v>
      </c>
      <c r="J69" s="9" t="s">
        <v>6</v>
      </c>
      <c r="K69" s="9" t="s">
        <v>6</v>
      </c>
      <c r="L69" s="14">
        <v>38.53</v>
      </c>
      <c r="M69" s="14">
        <f t="shared" si="0"/>
        <v>38.53</v>
      </c>
      <c r="N69" s="14">
        <v>38.53</v>
      </c>
      <c r="O69" s="14">
        <v>0</v>
      </c>
      <c r="P69" s="14">
        <v>0</v>
      </c>
      <c r="Q69" s="14">
        <v>0</v>
      </c>
      <c r="R69" s="14">
        <v>0</v>
      </c>
      <c r="S69" s="14">
        <f t="shared" si="1"/>
        <v>0</v>
      </c>
      <c r="T69" s="14">
        <f t="shared" si="2"/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 t="s">
        <v>6</v>
      </c>
      <c r="AB69" s="16"/>
      <c r="AC69" s="16"/>
      <c r="AD69" s="16"/>
    </row>
    <row r="70" ht="21.75" customHeight="1" spans="1:30">
      <c r="A70" s="7">
        <f>70-5</f>
        <v>65</v>
      </c>
      <c r="B70" s="9" t="s">
        <v>6</v>
      </c>
      <c r="C70" s="10" t="s">
        <v>6</v>
      </c>
      <c r="D70" s="10" t="s">
        <v>6</v>
      </c>
      <c r="E70" s="10" t="s">
        <v>6</v>
      </c>
      <c r="F70" s="10" t="s">
        <v>6</v>
      </c>
      <c r="G70" s="9" t="s">
        <v>337</v>
      </c>
      <c r="H70" s="9" t="s">
        <v>6</v>
      </c>
      <c r="I70" s="9" t="s">
        <v>6</v>
      </c>
      <c r="J70" s="9" t="s">
        <v>6</v>
      </c>
      <c r="K70" s="9" t="s">
        <v>6</v>
      </c>
      <c r="L70" s="14">
        <v>38.53</v>
      </c>
      <c r="M70" s="14">
        <f t="shared" ref="M70:M133" si="3">N70+O70+P70</f>
        <v>38.53</v>
      </c>
      <c r="N70" s="14">
        <v>38.53</v>
      </c>
      <c r="O70" s="14">
        <v>0</v>
      </c>
      <c r="P70" s="14">
        <v>0</v>
      </c>
      <c r="Q70" s="14">
        <v>0</v>
      </c>
      <c r="R70" s="14">
        <v>0</v>
      </c>
      <c r="S70" s="14">
        <f t="shared" ref="S70:S133" si="4">T70</f>
        <v>0</v>
      </c>
      <c r="T70" s="14">
        <f t="shared" ref="T70:T133" si="5">U70+V70+W70+X70+Y70</f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 t="s">
        <v>6</v>
      </c>
      <c r="AB70" s="16"/>
      <c r="AC70" s="16"/>
      <c r="AD70" s="16"/>
    </row>
    <row r="71" ht="21.75" customHeight="1" spans="1:30">
      <c r="A71" s="7">
        <f>71-5</f>
        <v>66</v>
      </c>
      <c r="B71" s="9" t="s">
        <v>6</v>
      </c>
      <c r="C71" s="10" t="s">
        <v>6</v>
      </c>
      <c r="D71" s="10" t="s">
        <v>6</v>
      </c>
      <c r="E71" s="10" t="s">
        <v>6</v>
      </c>
      <c r="F71" s="10" t="s">
        <v>6</v>
      </c>
      <c r="G71" s="9" t="s">
        <v>6</v>
      </c>
      <c r="H71" s="9" t="s">
        <v>342</v>
      </c>
      <c r="I71" s="9" t="s">
        <v>641</v>
      </c>
      <c r="J71" s="9"/>
      <c r="K71" s="9" t="s">
        <v>559</v>
      </c>
      <c r="L71" s="14">
        <v>20</v>
      </c>
      <c r="M71" s="14">
        <f t="shared" si="3"/>
        <v>20</v>
      </c>
      <c r="N71" s="14">
        <v>20</v>
      </c>
      <c r="O71" s="14">
        <v>0</v>
      </c>
      <c r="P71" s="14">
        <v>0</v>
      </c>
      <c r="Q71" s="14">
        <v>0</v>
      </c>
      <c r="R71" s="14">
        <v>0</v>
      </c>
      <c r="S71" s="14">
        <f t="shared" si="4"/>
        <v>0</v>
      </c>
      <c r="T71" s="14">
        <f t="shared" si="5"/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 t="s">
        <v>612</v>
      </c>
      <c r="AB71" s="16"/>
      <c r="AC71" s="16"/>
      <c r="AD71" s="16"/>
    </row>
    <row r="72" ht="21.75" customHeight="1" spans="1:30">
      <c r="A72" s="7">
        <f>72-5</f>
        <v>67</v>
      </c>
      <c r="B72" s="9" t="s">
        <v>6</v>
      </c>
      <c r="C72" s="10" t="s">
        <v>6</v>
      </c>
      <c r="D72" s="10" t="s">
        <v>6</v>
      </c>
      <c r="E72" s="10" t="s">
        <v>6</v>
      </c>
      <c r="F72" s="10" t="s">
        <v>6</v>
      </c>
      <c r="G72" s="9" t="s">
        <v>6</v>
      </c>
      <c r="H72" s="9" t="s">
        <v>340</v>
      </c>
      <c r="I72" s="9" t="s">
        <v>617</v>
      </c>
      <c r="J72" s="9"/>
      <c r="K72" s="9" t="s">
        <v>559</v>
      </c>
      <c r="L72" s="14">
        <v>16</v>
      </c>
      <c r="M72" s="14">
        <f t="shared" si="3"/>
        <v>16</v>
      </c>
      <c r="N72" s="14">
        <v>16</v>
      </c>
      <c r="O72" s="14">
        <v>0</v>
      </c>
      <c r="P72" s="14">
        <v>0</v>
      </c>
      <c r="Q72" s="14">
        <v>0</v>
      </c>
      <c r="R72" s="14">
        <v>0</v>
      </c>
      <c r="S72" s="14">
        <f t="shared" si="4"/>
        <v>0</v>
      </c>
      <c r="T72" s="14">
        <f t="shared" si="5"/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 t="s">
        <v>612</v>
      </c>
      <c r="AB72" s="16"/>
      <c r="AC72" s="16"/>
      <c r="AD72" s="16"/>
    </row>
    <row r="73" ht="21.75" customHeight="1" spans="1:30">
      <c r="A73" s="7">
        <f>73-5</f>
        <v>68</v>
      </c>
      <c r="B73" s="9" t="s">
        <v>6</v>
      </c>
      <c r="C73" s="10" t="s">
        <v>6</v>
      </c>
      <c r="D73" s="10" t="s">
        <v>6</v>
      </c>
      <c r="E73" s="10" t="s">
        <v>6</v>
      </c>
      <c r="F73" s="10" t="s">
        <v>6</v>
      </c>
      <c r="G73" s="9" t="s">
        <v>6</v>
      </c>
      <c r="H73" s="9" t="s">
        <v>341</v>
      </c>
      <c r="I73" s="9" t="s">
        <v>642</v>
      </c>
      <c r="J73" s="9"/>
      <c r="K73" s="9" t="s">
        <v>559</v>
      </c>
      <c r="L73" s="14">
        <v>2.53</v>
      </c>
      <c r="M73" s="14">
        <f t="shared" si="3"/>
        <v>2.53</v>
      </c>
      <c r="N73" s="14">
        <v>2.53</v>
      </c>
      <c r="O73" s="14">
        <v>0</v>
      </c>
      <c r="P73" s="14">
        <v>0</v>
      </c>
      <c r="Q73" s="14">
        <v>0</v>
      </c>
      <c r="R73" s="14">
        <v>0</v>
      </c>
      <c r="S73" s="14">
        <f t="shared" si="4"/>
        <v>0</v>
      </c>
      <c r="T73" s="14">
        <f t="shared" si="5"/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 t="s">
        <v>612</v>
      </c>
      <c r="AB73" s="16"/>
      <c r="AC73" s="16"/>
      <c r="AD73" s="16"/>
    </row>
    <row r="74" ht="21.75" customHeight="1" spans="1:30">
      <c r="A74" s="7">
        <f>74-5</f>
        <v>69</v>
      </c>
      <c r="B74" s="9" t="s">
        <v>6</v>
      </c>
      <c r="C74" s="10" t="s">
        <v>643</v>
      </c>
      <c r="D74" s="10" t="s">
        <v>6</v>
      </c>
      <c r="E74" s="10" t="s">
        <v>6</v>
      </c>
      <c r="F74" s="10" t="s">
        <v>6</v>
      </c>
      <c r="G74" s="9" t="s">
        <v>6</v>
      </c>
      <c r="H74" s="9" t="s">
        <v>6</v>
      </c>
      <c r="I74" s="9" t="s">
        <v>6</v>
      </c>
      <c r="J74" s="9" t="s">
        <v>6</v>
      </c>
      <c r="K74" s="9" t="s">
        <v>6</v>
      </c>
      <c r="L74" s="14">
        <v>3163.98275</v>
      </c>
      <c r="M74" s="14">
        <f t="shared" si="3"/>
        <v>3163.98275</v>
      </c>
      <c r="N74" s="14">
        <v>3163.98275</v>
      </c>
      <c r="O74" s="14">
        <v>0</v>
      </c>
      <c r="P74" s="14">
        <v>0</v>
      </c>
      <c r="Q74" s="14">
        <v>0</v>
      </c>
      <c r="R74" s="14">
        <v>0</v>
      </c>
      <c r="S74" s="14">
        <f t="shared" si="4"/>
        <v>0</v>
      </c>
      <c r="T74" s="14">
        <f t="shared" si="5"/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 t="s">
        <v>6</v>
      </c>
      <c r="AB74" s="16"/>
      <c r="AC74" s="16"/>
      <c r="AD74" s="16"/>
    </row>
    <row r="75" ht="21.75" customHeight="1" spans="1:30">
      <c r="A75" s="7">
        <f>75-5</f>
        <v>70</v>
      </c>
      <c r="B75" s="9" t="s">
        <v>6</v>
      </c>
      <c r="C75" s="10" t="s">
        <v>6</v>
      </c>
      <c r="D75" s="10" t="s">
        <v>644</v>
      </c>
      <c r="E75" s="10" t="s">
        <v>6</v>
      </c>
      <c r="F75" s="10" t="s">
        <v>6</v>
      </c>
      <c r="G75" s="9" t="s">
        <v>6</v>
      </c>
      <c r="H75" s="9" t="s">
        <v>6</v>
      </c>
      <c r="I75" s="9" t="s">
        <v>6</v>
      </c>
      <c r="J75" s="9" t="s">
        <v>6</v>
      </c>
      <c r="K75" s="9" t="s">
        <v>6</v>
      </c>
      <c r="L75" s="14">
        <v>3163.98275</v>
      </c>
      <c r="M75" s="14">
        <f t="shared" si="3"/>
        <v>3163.98275</v>
      </c>
      <c r="N75" s="14">
        <v>3163.98275</v>
      </c>
      <c r="O75" s="14">
        <v>0</v>
      </c>
      <c r="P75" s="14">
        <v>0</v>
      </c>
      <c r="Q75" s="14">
        <v>0</v>
      </c>
      <c r="R75" s="14">
        <v>0</v>
      </c>
      <c r="S75" s="14">
        <f t="shared" si="4"/>
        <v>0</v>
      </c>
      <c r="T75" s="14">
        <f t="shared" si="5"/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 t="s">
        <v>6</v>
      </c>
      <c r="AB75" s="16"/>
      <c r="AC75" s="16"/>
      <c r="AD75" s="16"/>
    </row>
    <row r="76" ht="21.75" customHeight="1" spans="1:30">
      <c r="A76" s="7">
        <f>76-5</f>
        <v>71</v>
      </c>
      <c r="B76" s="9" t="s">
        <v>6</v>
      </c>
      <c r="C76" s="10" t="s">
        <v>6</v>
      </c>
      <c r="D76" s="10" t="s">
        <v>6</v>
      </c>
      <c r="E76" s="10" t="s">
        <v>645</v>
      </c>
      <c r="F76" s="10" t="s">
        <v>6</v>
      </c>
      <c r="G76" s="9" t="s">
        <v>6</v>
      </c>
      <c r="H76" s="9" t="s">
        <v>6</v>
      </c>
      <c r="I76" s="9" t="s">
        <v>6</v>
      </c>
      <c r="J76" s="9" t="s">
        <v>6</v>
      </c>
      <c r="K76" s="9" t="s">
        <v>6</v>
      </c>
      <c r="L76" s="14">
        <v>810.72275</v>
      </c>
      <c r="M76" s="14">
        <f t="shared" si="3"/>
        <v>810.72275</v>
      </c>
      <c r="N76" s="14">
        <v>810.72275</v>
      </c>
      <c r="O76" s="14">
        <v>0</v>
      </c>
      <c r="P76" s="14">
        <v>0</v>
      </c>
      <c r="Q76" s="14">
        <v>0</v>
      </c>
      <c r="R76" s="14">
        <v>0</v>
      </c>
      <c r="S76" s="14">
        <f t="shared" si="4"/>
        <v>0</v>
      </c>
      <c r="T76" s="14">
        <f t="shared" si="5"/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 t="s">
        <v>6</v>
      </c>
      <c r="AB76" s="16"/>
      <c r="AC76" s="16"/>
      <c r="AD76" s="16"/>
    </row>
    <row r="77" ht="21.75" customHeight="1" spans="1:30">
      <c r="A77" s="7">
        <f>77-5</f>
        <v>72</v>
      </c>
      <c r="B77" s="9" t="s">
        <v>6</v>
      </c>
      <c r="C77" s="10" t="s">
        <v>6</v>
      </c>
      <c r="D77" s="10" t="s">
        <v>6</v>
      </c>
      <c r="E77" s="10" t="s">
        <v>6</v>
      </c>
      <c r="F77" s="10" t="s">
        <v>407</v>
      </c>
      <c r="G77" s="9" t="s">
        <v>6</v>
      </c>
      <c r="H77" s="9" t="s">
        <v>6</v>
      </c>
      <c r="I77" s="9" t="s">
        <v>6</v>
      </c>
      <c r="J77" s="9" t="s">
        <v>6</v>
      </c>
      <c r="K77" s="9" t="s">
        <v>6</v>
      </c>
      <c r="L77" s="14">
        <v>810.72275</v>
      </c>
      <c r="M77" s="14">
        <f t="shared" si="3"/>
        <v>810.72275</v>
      </c>
      <c r="N77" s="14">
        <v>810.72275</v>
      </c>
      <c r="O77" s="14">
        <v>0</v>
      </c>
      <c r="P77" s="14">
        <v>0</v>
      </c>
      <c r="Q77" s="14">
        <v>0</v>
      </c>
      <c r="R77" s="14">
        <v>0</v>
      </c>
      <c r="S77" s="14">
        <f t="shared" si="4"/>
        <v>0</v>
      </c>
      <c r="T77" s="14">
        <f t="shared" si="5"/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 t="s">
        <v>6</v>
      </c>
      <c r="AB77" s="16"/>
      <c r="AC77" s="16"/>
      <c r="AD77" s="16"/>
    </row>
    <row r="78" ht="21.75" customHeight="1" spans="1:30">
      <c r="A78" s="7">
        <f>78-5</f>
        <v>73</v>
      </c>
      <c r="B78" s="9" t="s">
        <v>6</v>
      </c>
      <c r="C78" s="10" t="s">
        <v>6</v>
      </c>
      <c r="D78" s="10" t="s">
        <v>6</v>
      </c>
      <c r="E78" s="10" t="s">
        <v>6</v>
      </c>
      <c r="F78" s="10" t="s">
        <v>6</v>
      </c>
      <c r="G78" s="9" t="s">
        <v>575</v>
      </c>
      <c r="H78" s="9" t="s">
        <v>6</v>
      </c>
      <c r="I78" s="9" t="s">
        <v>6</v>
      </c>
      <c r="J78" s="9" t="s">
        <v>6</v>
      </c>
      <c r="K78" s="9" t="s">
        <v>6</v>
      </c>
      <c r="L78" s="14">
        <v>346.29275</v>
      </c>
      <c r="M78" s="14">
        <f t="shared" si="3"/>
        <v>346.29275</v>
      </c>
      <c r="N78" s="14">
        <v>346.29275</v>
      </c>
      <c r="O78" s="14">
        <v>0</v>
      </c>
      <c r="P78" s="14">
        <v>0</v>
      </c>
      <c r="Q78" s="14">
        <v>0</v>
      </c>
      <c r="R78" s="14">
        <v>0</v>
      </c>
      <c r="S78" s="14">
        <f t="shared" si="4"/>
        <v>0</v>
      </c>
      <c r="T78" s="14">
        <f t="shared" si="5"/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 t="s">
        <v>6</v>
      </c>
      <c r="AB78" s="16"/>
      <c r="AC78" s="16"/>
      <c r="AD78" s="16"/>
    </row>
    <row r="79" ht="21.75" customHeight="1" spans="1:30">
      <c r="A79" s="7">
        <f>79-5</f>
        <v>74</v>
      </c>
      <c r="B79" s="9" t="s">
        <v>6</v>
      </c>
      <c r="C79" s="10" t="s">
        <v>6</v>
      </c>
      <c r="D79" s="10" t="s">
        <v>6</v>
      </c>
      <c r="E79" s="10" t="s">
        <v>6</v>
      </c>
      <c r="F79" s="10" t="s">
        <v>6</v>
      </c>
      <c r="G79" s="9" t="s">
        <v>6</v>
      </c>
      <c r="H79" s="9" t="s">
        <v>576</v>
      </c>
      <c r="I79" s="9" t="s">
        <v>646</v>
      </c>
      <c r="J79" s="9"/>
      <c r="K79" s="9" t="s">
        <v>559</v>
      </c>
      <c r="L79" s="14">
        <v>118.5</v>
      </c>
      <c r="M79" s="14">
        <f t="shared" si="3"/>
        <v>118.5</v>
      </c>
      <c r="N79" s="14">
        <v>118.5</v>
      </c>
      <c r="O79" s="14">
        <v>0</v>
      </c>
      <c r="P79" s="14">
        <v>0</v>
      </c>
      <c r="Q79" s="14">
        <v>0</v>
      </c>
      <c r="R79" s="14">
        <v>0</v>
      </c>
      <c r="S79" s="14">
        <f t="shared" si="4"/>
        <v>0</v>
      </c>
      <c r="T79" s="14">
        <f t="shared" si="5"/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 t="s">
        <v>612</v>
      </c>
      <c r="AB79" s="16"/>
      <c r="AC79" s="16"/>
      <c r="AD79" s="16"/>
    </row>
    <row r="80" ht="21.75" customHeight="1" spans="1:30">
      <c r="A80" s="7">
        <f>80-5</f>
        <v>75</v>
      </c>
      <c r="B80" s="9" t="s">
        <v>6</v>
      </c>
      <c r="C80" s="10" t="s">
        <v>6</v>
      </c>
      <c r="D80" s="10" t="s">
        <v>6</v>
      </c>
      <c r="E80" s="10" t="s">
        <v>6</v>
      </c>
      <c r="F80" s="10" t="s">
        <v>6</v>
      </c>
      <c r="G80" s="9" t="s">
        <v>6</v>
      </c>
      <c r="H80" s="9" t="s">
        <v>578</v>
      </c>
      <c r="I80" s="9" t="s">
        <v>647</v>
      </c>
      <c r="J80" s="9"/>
      <c r="K80" s="9" t="s">
        <v>559</v>
      </c>
      <c r="L80" s="14">
        <v>167.79275</v>
      </c>
      <c r="M80" s="14">
        <f t="shared" si="3"/>
        <v>167.79275</v>
      </c>
      <c r="N80" s="14">
        <v>167.79275</v>
      </c>
      <c r="O80" s="14">
        <v>0</v>
      </c>
      <c r="P80" s="14">
        <v>0</v>
      </c>
      <c r="Q80" s="14">
        <v>0</v>
      </c>
      <c r="R80" s="14">
        <v>0</v>
      </c>
      <c r="S80" s="14">
        <f t="shared" si="4"/>
        <v>0</v>
      </c>
      <c r="T80" s="14">
        <f t="shared" si="5"/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 t="s">
        <v>612</v>
      </c>
      <c r="AB80" s="16"/>
      <c r="AC80" s="16"/>
      <c r="AD80" s="16"/>
    </row>
    <row r="81" ht="21.75" customHeight="1" spans="1:30">
      <c r="A81" s="7">
        <f>81-5</f>
        <v>76</v>
      </c>
      <c r="B81" s="9" t="s">
        <v>6</v>
      </c>
      <c r="C81" s="10" t="s">
        <v>6</v>
      </c>
      <c r="D81" s="10" t="s">
        <v>6</v>
      </c>
      <c r="E81" s="10" t="s">
        <v>6</v>
      </c>
      <c r="F81" s="10" t="s">
        <v>6</v>
      </c>
      <c r="G81" s="9" t="s">
        <v>6</v>
      </c>
      <c r="H81" s="9" t="s">
        <v>648</v>
      </c>
      <c r="I81" s="9" t="s">
        <v>646</v>
      </c>
      <c r="J81" s="9"/>
      <c r="K81" s="9" t="s">
        <v>559</v>
      </c>
      <c r="L81" s="14">
        <v>60</v>
      </c>
      <c r="M81" s="14">
        <f t="shared" si="3"/>
        <v>60</v>
      </c>
      <c r="N81" s="14">
        <v>60</v>
      </c>
      <c r="O81" s="14">
        <v>0</v>
      </c>
      <c r="P81" s="14">
        <v>0</v>
      </c>
      <c r="Q81" s="14">
        <v>0</v>
      </c>
      <c r="R81" s="14">
        <v>0</v>
      </c>
      <c r="S81" s="14">
        <f t="shared" si="4"/>
        <v>0</v>
      </c>
      <c r="T81" s="14">
        <f t="shared" si="5"/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 t="s">
        <v>612</v>
      </c>
      <c r="AB81" s="16"/>
      <c r="AC81" s="16"/>
      <c r="AD81" s="16"/>
    </row>
    <row r="82" ht="21.75" customHeight="1" spans="1:30">
      <c r="A82" s="7">
        <f>82-5</f>
        <v>77</v>
      </c>
      <c r="B82" s="9" t="s">
        <v>6</v>
      </c>
      <c r="C82" s="10" t="s">
        <v>6</v>
      </c>
      <c r="D82" s="10" t="s">
        <v>6</v>
      </c>
      <c r="E82" s="10" t="s">
        <v>6</v>
      </c>
      <c r="F82" s="10" t="s">
        <v>6</v>
      </c>
      <c r="G82" s="9" t="s">
        <v>583</v>
      </c>
      <c r="H82" s="9" t="s">
        <v>6</v>
      </c>
      <c r="I82" s="9" t="s">
        <v>6</v>
      </c>
      <c r="J82" s="9" t="s">
        <v>6</v>
      </c>
      <c r="K82" s="9" t="s">
        <v>6</v>
      </c>
      <c r="L82" s="14">
        <v>427</v>
      </c>
      <c r="M82" s="14">
        <f t="shared" si="3"/>
        <v>427</v>
      </c>
      <c r="N82" s="14">
        <v>427</v>
      </c>
      <c r="O82" s="14">
        <v>0</v>
      </c>
      <c r="P82" s="14">
        <v>0</v>
      </c>
      <c r="Q82" s="14">
        <v>0</v>
      </c>
      <c r="R82" s="14">
        <v>0</v>
      </c>
      <c r="S82" s="14">
        <f t="shared" si="4"/>
        <v>0</v>
      </c>
      <c r="T82" s="14">
        <f t="shared" si="5"/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 t="s">
        <v>6</v>
      </c>
      <c r="AB82" s="16"/>
      <c r="AC82" s="16"/>
      <c r="AD82" s="16"/>
    </row>
    <row r="83" ht="21.75" customHeight="1" spans="1:30">
      <c r="A83" s="7">
        <f>83-5</f>
        <v>78</v>
      </c>
      <c r="B83" s="9" t="s">
        <v>6</v>
      </c>
      <c r="C83" s="10" t="s">
        <v>6</v>
      </c>
      <c r="D83" s="10" t="s">
        <v>6</v>
      </c>
      <c r="E83" s="10" t="s">
        <v>6</v>
      </c>
      <c r="F83" s="10" t="s">
        <v>6</v>
      </c>
      <c r="G83" s="9" t="s">
        <v>6</v>
      </c>
      <c r="H83" s="9" t="s">
        <v>584</v>
      </c>
      <c r="I83" s="9" t="s">
        <v>649</v>
      </c>
      <c r="J83" s="9"/>
      <c r="K83" s="9" t="s">
        <v>559</v>
      </c>
      <c r="L83" s="14">
        <v>255</v>
      </c>
      <c r="M83" s="14">
        <f t="shared" si="3"/>
        <v>255</v>
      </c>
      <c r="N83" s="14">
        <v>255</v>
      </c>
      <c r="O83" s="14">
        <v>0</v>
      </c>
      <c r="P83" s="14">
        <v>0</v>
      </c>
      <c r="Q83" s="14">
        <v>0</v>
      </c>
      <c r="R83" s="14">
        <v>0</v>
      </c>
      <c r="S83" s="14">
        <f t="shared" si="4"/>
        <v>0</v>
      </c>
      <c r="T83" s="14">
        <f t="shared" si="5"/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 t="s">
        <v>612</v>
      </c>
      <c r="AB83" s="16"/>
      <c r="AC83" s="16"/>
      <c r="AD83" s="16"/>
    </row>
    <row r="84" ht="21.75" customHeight="1" spans="1:30">
      <c r="A84" s="7">
        <f>84-5</f>
        <v>79</v>
      </c>
      <c r="B84" s="9" t="s">
        <v>6</v>
      </c>
      <c r="C84" s="10" t="s">
        <v>6</v>
      </c>
      <c r="D84" s="10" t="s">
        <v>6</v>
      </c>
      <c r="E84" s="10" t="s">
        <v>6</v>
      </c>
      <c r="F84" s="10" t="s">
        <v>6</v>
      </c>
      <c r="G84" s="9" t="s">
        <v>6</v>
      </c>
      <c r="H84" s="9" t="s">
        <v>586</v>
      </c>
      <c r="I84" s="9" t="s">
        <v>649</v>
      </c>
      <c r="J84" s="9"/>
      <c r="K84" s="9" t="s">
        <v>559</v>
      </c>
      <c r="L84" s="14">
        <v>172</v>
      </c>
      <c r="M84" s="14">
        <f t="shared" si="3"/>
        <v>172</v>
      </c>
      <c r="N84" s="14">
        <v>172</v>
      </c>
      <c r="O84" s="14">
        <v>0</v>
      </c>
      <c r="P84" s="14">
        <v>0</v>
      </c>
      <c r="Q84" s="14">
        <v>0</v>
      </c>
      <c r="R84" s="14">
        <v>0</v>
      </c>
      <c r="S84" s="14">
        <f t="shared" si="4"/>
        <v>0</v>
      </c>
      <c r="T84" s="14">
        <f t="shared" si="5"/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 t="s">
        <v>612</v>
      </c>
      <c r="AB84" s="16"/>
      <c r="AC84" s="16"/>
      <c r="AD84" s="16"/>
    </row>
    <row r="85" ht="21.75" customHeight="1" spans="1:30">
      <c r="A85" s="7">
        <f>85-5</f>
        <v>80</v>
      </c>
      <c r="B85" s="9" t="s">
        <v>6</v>
      </c>
      <c r="C85" s="10" t="s">
        <v>6</v>
      </c>
      <c r="D85" s="10" t="s">
        <v>6</v>
      </c>
      <c r="E85" s="10" t="s">
        <v>6</v>
      </c>
      <c r="F85" s="10" t="s">
        <v>6</v>
      </c>
      <c r="G85" s="9" t="s">
        <v>572</v>
      </c>
      <c r="H85" s="9" t="s">
        <v>6</v>
      </c>
      <c r="I85" s="9" t="s">
        <v>6</v>
      </c>
      <c r="J85" s="9" t="s">
        <v>6</v>
      </c>
      <c r="K85" s="9" t="s">
        <v>6</v>
      </c>
      <c r="L85" s="14">
        <v>1.2</v>
      </c>
      <c r="M85" s="14">
        <f t="shared" si="3"/>
        <v>1.2</v>
      </c>
      <c r="N85" s="14">
        <v>1.2</v>
      </c>
      <c r="O85" s="14">
        <v>0</v>
      </c>
      <c r="P85" s="14">
        <v>0</v>
      </c>
      <c r="Q85" s="14">
        <v>0</v>
      </c>
      <c r="R85" s="14">
        <v>0</v>
      </c>
      <c r="S85" s="14">
        <f t="shared" si="4"/>
        <v>0</v>
      </c>
      <c r="T85" s="14">
        <f t="shared" si="5"/>
        <v>0</v>
      </c>
      <c r="U85" s="14">
        <v>0</v>
      </c>
      <c r="V85" s="14">
        <v>0</v>
      </c>
      <c r="W85" s="14">
        <v>0</v>
      </c>
      <c r="X85" s="14">
        <v>0</v>
      </c>
      <c r="Y85" s="14">
        <v>0</v>
      </c>
      <c r="Z85" s="14">
        <v>0</v>
      </c>
      <c r="AA85" s="14" t="s">
        <v>6</v>
      </c>
      <c r="AB85" s="16"/>
      <c r="AC85" s="16"/>
      <c r="AD85" s="16"/>
    </row>
    <row r="86" ht="21.75" customHeight="1" spans="1:30">
      <c r="A86" s="7">
        <f>86-5</f>
        <v>81</v>
      </c>
      <c r="B86" s="9" t="s">
        <v>6</v>
      </c>
      <c r="C86" s="10" t="s">
        <v>6</v>
      </c>
      <c r="D86" s="10" t="s">
        <v>6</v>
      </c>
      <c r="E86" s="10" t="s">
        <v>6</v>
      </c>
      <c r="F86" s="10" t="s">
        <v>6</v>
      </c>
      <c r="G86" s="9" t="s">
        <v>6</v>
      </c>
      <c r="H86" s="9" t="s">
        <v>573</v>
      </c>
      <c r="I86" s="9" t="s">
        <v>646</v>
      </c>
      <c r="J86" s="9"/>
      <c r="K86" s="9" t="s">
        <v>559</v>
      </c>
      <c r="L86" s="14">
        <v>1.2</v>
      </c>
      <c r="M86" s="14">
        <f t="shared" si="3"/>
        <v>1.2</v>
      </c>
      <c r="N86" s="14">
        <v>1.2</v>
      </c>
      <c r="O86" s="14">
        <v>0</v>
      </c>
      <c r="P86" s="14">
        <v>0</v>
      </c>
      <c r="Q86" s="14">
        <v>0</v>
      </c>
      <c r="R86" s="14">
        <v>0</v>
      </c>
      <c r="S86" s="14">
        <f t="shared" si="4"/>
        <v>0</v>
      </c>
      <c r="T86" s="14">
        <f t="shared" si="5"/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 t="s">
        <v>612</v>
      </c>
      <c r="AB86" s="16"/>
      <c r="AC86" s="16"/>
      <c r="AD86" s="16"/>
    </row>
    <row r="87" ht="21.75" customHeight="1" spans="1:30">
      <c r="A87" s="7">
        <f>87-5</f>
        <v>82</v>
      </c>
      <c r="B87" s="9" t="s">
        <v>6</v>
      </c>
      <c r="C87" s="10" t="s">
        <v>6</v>
      </c>
      <c r="D87" s="10" t="s">
        <v>6</v>
      </c>
      <c r="E87" s="10" t="s">
        <v>6</v>
      </c>
      <c r="F87" s="10" t="s">
        <v>6</v>
      </c>
      <c r="G87" s="9" t="s">
        <v>593</v>
      </c>
      <c r="H87" s="9" t="s">
        <v>6</v>
      </c>
      <c r="I87" s="9" t="s">
        <v>6</v>
      </c>
      <c r="J87" s="9" t="s">
        <v>6</v>
      </c>
      <c r="K87" s="9" t="s">
        <v>6</v>
      </c>
      <c r="L87" s="14">
        <v>2</v>
      </c>
      <c r="M87" s="14">
        <f t="shared" si="3"/>
        <v>2</v>
      </c>
      <c r="N87" s="14">
        <v>2</v>
      </c>
      <c r="O87" s="14">
        <v>0</v>
      </c>
      <c r="P87" s="14">
        <v>0</v>
      </c>
      <c r="Q87" s="14">
        <v>0</v>
      </c>
      <c r="R87" s="14">
        <v>0</v>
      </c>
      <c r="S87" s="14">
        <f t="shared" si="4"/>
        <v>0</v>
      </c>
      <c r="T87" s="14">
        <f t="shared" si="5"/>
        <v>0</v>
      </c>
      <c r="U87" s="14">
        <v>0</v>
      </c>
      <c r="V87" s="14">
        <v>0</v>
      </c>
      <c r="W87" s="14">
        <v>0</v>
      </c>
      <c r="X87" s="14">
        <v>0</v>
      </c>
      <c r="Y87" s="14">
        <v>0</v>
      </c>
      <c r="Z87" s="14">
        <v>0</v>
      </c>
      <c r="AA87" s="14" t="s">
        <v>6</v>
      </c>
      <c r="AB87" s="16"/>
      <c r="AC87" s="16"/>
      <c r="AD87" s="16"/>
    </row>
    <row r="88" ht="21.75" customHeight="1" spans="1:30">
      <c r="A88" s="7">
        <f>88-5</f>
        <v>83</v>
      </c>
      <c r="B88" s="9" t="s">
        <v>6</v>
      </c>
      <c r="C88" s="10" t="s">
        <v>6</v>
      </c>
      <c r="D88" s="10" t="s">
        <v>6</v>
      </c>
      <c r="E88" s="10" t="s">
        <v>6</v>
      </c>
      <c r="F88" s="10" t="s">
        <v>6</v>
      </c>
      <c r="G88" s="9" t="s">
        <v>6</v>
      </c>
      <c r="H88" s="9" t="s">
        <v>594</v>
      </c>
      <c r="I88" s="9" t="s">
        <v>646</v>
      </c>
      <c r="J88" s="9"/>
      <c r="K88" s="9" t="s">
        <v>559</v>
      </c>
      <c r="L88" s="14">
        <v>2</v>
      </c>
      <c r="M88" s="14">
        <f t="shared" si="3"/>
        <v>2</v>
      </c>
      <c r="N88" s="14">
        <v>2</v>
      </c>
      <c r="O88" s="14">
        <v>0</v>
      </c>
      <c r="P88" s="14">
        <v>0</v>
      </c>
      <c r="Q88" s="14">
        <v>0</v>
      </c>
      <c r="R88" s="14">
        <v>0</v>
      </c>
      <c r="S88" s="14">
        <f t="shared" si="4"/>
        <v>0</v>
      </c>
      <c r="T88" s="14">
        <f t="shared" si="5"/>
        <v>0</v>
      </c>
      <c r="U88" s="14">
        <v>0</v>
      </c>
      <c r="V88" s="14">
        <v>0</v>
      </c>
      <c r="W88" s="14">
        <v>0</v>
      </c>
      <c r="X88" s="14">
        <v>0</v>
      </c>
      <c r="Y88" s="14">
        <v>0</v>
      </c>
      <c r="Z88" s="14">
        <v>0</v>
      </c>
      <c r="AA88" s="14" t="s">
        <v>612</v>
      </c>
      <c r="AB88" s="16"/>
      <c r="AC88" s="16"/>
      <c r="AD88" s="16"/>
    </row>
    <row r="89" ht="21.75" customHeight="1" spans="1:30">
      <c r="A89" s="7">
        <f>89-5</f>
        <v>84</v>
      </c>
      <c r="B89" s="9" t="s">
        <v>6</v>
      </c>
      <c r="C89" s="10" t="s">
        <v>6</v>
      </c>
      <c r="D89" s="10" t="s">
        <v>6</v>
      </c>
      <c r="E89" s="10" t="s">
        <v>6</v>
      </c>
      <c r="F89" s="10" t="s">
        <v>6</v>
      </c>
      <c r="G89" s="9" t="s">
        <v>650</v>
      </c>
      <c r="H89" s="9" t="s">
        <v>6</v>
      </c>
      <c r="I89" s="9" t="s">
        <v>6</v>
      </c>
      <c r="J89" s="9" t="s">
        <v>6</v>
      </c>
      <c r="K89" s="9" t="s">
        <v>6</v>
      </c>
      <c r="L89" s="14">
        <v>20.65</v>
      </c>
      <c r="M89" s="14">
        <f t="shared" si="3"/>
        <v>20.65</v>
      </c>
      <c r="N89" s="14">
        <v>20.65</v>
      </c>
      <c r="O89" s="14">
        <v>0</v>
      </c>
      <c r="P89" s="14">
        <v>0</v>
      </c>
      <c r="Q89" s="14">
        <v>0</v>
      </c>
      <c r="R89" s="14">
        <v>0</v>
      </c>
      <c r="S89" s="14">
        <f t="shared" si="4"/>
        <v>0</v>
      </c>
      <c r="T89" s="14">
        <f t="shared" si="5"/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 t="s">
        <v>6</v>
      </c>
      <c r="AB89" s="16"/>
      <c r="AC89" s="16"/>
      <c r="AD89" s="16"/>
    </row>
    <row r="90" ht="21.75" customHeight="1" spans="1:30">
      <c r="A90" s="7">
        <f>90-5</f>
        <v>85</v>
      </c>
      <c r="B90" s="9" t="s">
        <v>6</v>
      </c>
      <c r="C90" s="10" t="s">
        <v>6</v>
      </c>
      <c r="D90" s="10" t="s">
        <v>6</v>
      </c>
      <c r="E90" s="10" t="s">
        <v>6</v>
      </c>
      <c r="F90" s="10" t="s">
        <v>6</v>
      </c>
      <c r="G90" s="9" t="s">
        <v>6</v>
      </c>
      <c r="H90" s="9" t="s">
        <v>651</v>
      </c>
      <c r="I90" s="9" t="s">
        <v>642</v>
      </c>
      <c r="J90" s="9"/>
      <c r="K90" s="9" t="s">
        <v>559</v>
      </c>
      <c r="L90" s="14">
        <v>8.67</v>
      </c>
      <c r="M90" s="14">
        <f t="shared" si="3"/>
        <v>8.67</v>
      </c>
      <c r="N90" s="14">
        <v>8.67</v>
      </c>
      <c r="O90" s="14">
        <v>0</v>
      </c>
      <c r="P90" s="14">
        <v>0</v>
      </c>
      <c r="Q90" s="14">
        <v>0</v>
      </c>
      <c r="R90" s="14">
        <v>0</v>
      </c>
      <c r="S90" s="14">
        <f t="shared" si="4"/>
        <v>0</v>
      </c>
      <c r="T90" s="14">
        <f t="shared" si="5"/>
        <v>0</v>
      </c>
      <c r="U90" s="14">
        <v>0</v>
      </c>
      <c r="V90" s="14">
        <v>0</v>
      </c>
      <c r="W90" s="14">
        <v>0</v>
      </c>
      <c r="X90" s="14">
        <v>0</v>
      </c>
      <c r="Y90" s="14">
        <v>0</v>
      </c>
      <c r="Z90" s="14">
        <v>0</v>
      </c>
      <c r="AA90" s="14" t="s">
        <v>612</v>
      </c>
      <c r="AB90" s="16"/>
      <c r="AC90" s="16"/>
      <c r="AD90" s="16"/>
    </row>
    <row r="91" ht="21.75" customHeight="1" spans="1:30">
      <c r="A91" s="7">
        <f>91-5</f>
        <v>86</v>
      </c>
      <c r="B91" s="9" t="s">
        <v>6</v>
      </c>
      <c r="C91" s="10" t="s">
        <v>6</v>
      </c>
      <c r="D91" s="10" t="s">
        <v>6</v>
      </c>
      <c r="E91" s="10" t="s">
        <v>6</v>
      </c>
      <c r="F91" s="10" t="s">
        <v>6</v>
      </c>
      <c r="G91" s="9" t="s">
        <v>6</v>
      </c>
      <c r="H91" s="9" t="s">
        <v>652</v>
      </c>
      <c r="I91" s="9" t="s">
        <v>642</v>
      </c>
      <c r="J91" s="9"/>
      <c r="K91" s="9" t="s">
        <v>559</v>
      </c>
      <c r="L91" s="14">
        <v>0.78</v>
      </c>
      <c r="M91" s="14">
        <f t="shared" si="3"/>
        <v>0.78</v>
      </c>
      <c r="N91" s="14">
        <v>0.78</v>
      </c>
      <c r="O91" s="14">
        <v>0</v>
      </c>
      <c r="P91" s="14">
        <v>0</v>
      </c>
      <c r="Q91" s="14">
        <v>0</v>
      </c>
      <c r="R91" s="14">
        <v>0</v>
      </c>
      <c r="S91" s="14">
        <f t="shared" si="4"/>
        <v>0</v>
      </c>
      <c r="T91" s="14">
        <f t="shared" si="5"/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 t="s">
        <v>612</v>
      </c>
      <c r="AB91" s="16"/>
      <c r="AC91" s="16"/>
      <c r="AD91" s="16"/>
    </row>
    <row r="92" ht="21.75" customHeight="1" spans="1:30">
      <c r="A92" s="7">
        <f>92-5</f>
        <v>87</v>
      </c>
      <c r="B92" s="9" t="s">
        <v>6</v>
      </c>
      <c r="C92" s="10" t="s">
        <v>6</v>
      </c>
      <c r="D92" s="10" t="s">
        <v>6</v>
      </c>
      <c r="E92" s="10" t="s">
        <v>6</v>
      </c>
      <c r="F92" s="10" t="s">
        <v>6</v>
      </c>
      <c r="G92" s="9" t="s">
        <v>6</v>
      </c>
      <c r="H92" s="9" t="s">
        <v>653</v>
      </c>
      <c r="I92" s="9" t="s">
        <v>642</v>
      </c>
      <c r="J92" s="9"/>
      <c r="K92" s="9" t="s">
        <v>559</v>
      </c>
      <c r="L92" s="14">
        <v>0.2</v>
      </c>
      <c r="M92" s="14">
        <f t="shared" si="3"/>
        <v>0.2</v>
      </c>
      <c r="N92" s="14">
        <v>0.2</v>
      </c>
      <c r="O92" s="14">
        <v>0</v>
      </c>
      <c r="P92" s="14">
        <v>0</v>
      </c>
      <c r="Q92" s="14">
        <v>0</v>
      </c>
      <c r="R92" s="14">
        <v>0</v>
      </c>
      <c r="S92" s="14">
        <f t="shared" si="4"/>
        <v>0</v>
      </c>
      <c r="T92" s="14">
        <f t="shared" si="5"/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 t="s">
        <v>612</v>
      </c>
      <c r="AB92" s="16"/>
      <c r="AC92" s="16"/>
      <c r="AD92" s="16"/>
    </row>
    <row r="93" ht="21.75" customHeight="1" spans="1:30">
      <c r="A93" s="7">
        <f>93-5</f>
        <v>88</v>
      </c>
      <c r="B93" s="9" t="s">
        <v>6</v>
      </c>
      <c r="C93" s="10" t="s">
        <v>6</v>
      </c>
      <c r="D93" s="10" t="s">
        <v>6</v>
      </c>
      <c r="E93" s="10" t="s">
        <v>6</v>
      </c>
      <c r="F93" s="10" t="s">
        <v>6</v>
      </c>
      <c r="G93" s="9" t="s">
        <v>6</v>
      </c>
      <c r="H93" s="9" t="s">
        <v>654</v>
      </c>
      <c r="I93" s="9" t="s">
        <v>642</v>
      </c>
      <c r="J93" s="9"/>
      <c r="K93" s="9" t="s">
        <v>559</v>
      </c>
      <c r="L93" s="14">
        <v>4</v>
      </c>
      <c r="M93" s="14">
        <f t="shared" si="3"/>
        <v>4</v>
      </c>
      <c r="N93" s="14">
        <v>4</v>
      </c>
      <c r="O93" s="14">
        <v>0</v>
      </c>
      <c r="P93" s="14">
        <v>0</v>
      </c>
      <c r="Q93" s="14">
        <v>0</v>
      </c>
      <c r="R93" s="14">
        <v>0</v>
      </c>
      <c r="S93" s="14">
        <f t="shared" si="4"/>
        <v>0</v>
      </c>
      <c r="T93" s="14">
        <f t="shared" si="5"/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 t="s">
        <v>612</v>
      </c>
      <c r="AB93" s="16"/>
      <c r="AC93" s="16"/>
      <c r="AD93" s="16"/>
    </row>
    <row r="94" ht="21.75" customHeight="1" spans="1:30">
      <c r="A94" s="7">
        <f>94-5</f>
        <v>89</v>
      </c>
      <c r="B94" s="9" t="s">
        <v>6</v>
      </c>
      <c r="C94" s="10" t="s">
        <v>6</v>
      </c>
      <c r="D94" s="10" t="s">
        <v>6</v>
      </c>
      <c r="E94" s="10" t="s">
        <v>6</v>
      </c>
      <c r="F94" s="10" t="s">
        <v>6</v>
      </c>
      <c r="G94" s="9" t="s">
        <v>6</v>
      </c>
      <c r="H94" s="9" t="s">
        <v>655</v>
      </c>
      <c r="I94" s="9" t="s">
        <v>642</v>
      </c>
      <c r="J94" s="9"/>
      <c r="K94" s="9" t="s">
        <v>559</v>
      </c>
      <c r="L94" s="14">
        <v>7</v>
      </c>
      <c r="M94" s="14">
        <f t="shared" si="3"/>
        <v>7</v>
      </c>
      <c r="N94" s="14">
        <v>7</v>
      </c>
      <c r="O94" s="14">
        <v>0</v>
      </c>
      <c r="P94" s="14">
        <v>0</v>
      </c>
      <c r="Q94" s="14">
        <v>0</v>
      </c>
      <c r="R94" s="14">
        <v>0</v>
      </c>
      <c r="S94" s="14">
        <f t="shared" si="4"/>
        <v>0</v>
      </c>
      <c r="T94" s="14">
        <f t="shared" si="5"/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 t="s">
        <v>612</v>
      </c>
      <c r="AB94" s="16"/>
      <c r="AC94" s="16"/>
      <c r="AD94" s="16"/>
    </row>
    <row r="95" ht="21.75" customHeight="1" spans="1:30">
      <c r="A95" s="7">
        <f>95-5</f>
        <v>90</v>
      </c>
      <c r="B95" s="9" t="s">
        <v>6</v>
      </c>
      <c r="C95" s="10" t="s">
        <v>6</v>
      </c>
      <c r="D95" s="10" t="s">
        <v>6</v>
      </c>
      <c r="E95" s="10" t="s">
        <v>6</v>
      </c>
      <c r="F95" s="10" t="s">
        <v>6</v>
      </c>
      <c r="G95" s="9" t="s">
        <v>590</v>
      </c>
      <c r="H95" s="9" t="s">
        <v>6</v>
      </c>
      <c r="I95" s="9" t="s">
        <v>6</v>
      </c>
      <c r="J95" s="9" t="s">
        <v>6</v>
      </c>
      <c r="K95" s="9" t="s">
        <v>6</v>
      </c>
      <c r="L95" s="14">
        <v>3.5</v>
      </c>
      <c r="M95" s="14">
        <f t="shared" si="3"/>
        <v>3.5</v>
      </c>
      <c r="N95" s="14">
        <v>3.5</v>
      </c>
      <c r="O95" s="14">
        <v>0</v>
      </c>
      <c r="P95" s="14">
        <v>0</v>
      </c>
      <c r="Q95" s="14">
        <v>0</v>
      </c>
      <c r="R95" s="14">
        <v>0</v>
      </c>
      <c r="S95" s="14">
        <f t="shared" si="4"/>
        <v>0</v>
      </c>
      <c r="T95" s="14">
        <f t="shared" si="5"/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 t="s">
        <v>6</v>
      </c>
      <c r="AB95" s="16"/>
      <c r="AC95" s="16"/>
      <c r="AD95" s="16"/>
    </row>
    <row r="96" ht="21.75" customHeight="1" spans="1:30">
      <c r="A96" s="7">
        <f>96-5</f>
        <v>91</v>
      </c>
      <c r="B96" s="9" t="s">
        <v>6</v>
      </c>
      <c r="C96" s="10" t="s">
        <v>6</v>
      </c>
      <c r="D96" s="10" t="s">
        <v>6</v>
      </c>
      <c r="E96" s="10" t="s">
        <v>6</v>
      </c>
      <c r="F96" s="10" t="s">
        <v>6</v>
      </c>
      <c r="G96" s="9" t="s">
        <v>6</v>
      </c>
      <c r="H96" s="9" t="s">
        <v>591</v>
      </c>
      <c r="I96" s="9" t="s">
        <v>656</v>
      </c>
      <c r="J96" s="9"/>
      <c r="K96" s="9" t="s">
        <v>559</v>
      </c>
      <c r="L96" s="14">
        <v>3.5</v>
      </c>
      <c r="M96" s="14">
        <f t="shared" si="3"/>
        <v>3.5</v>
      </c>
      <c r="N96" s="14">
        <v>3.5</v>
      </c>
      <c r="O96" s="14">
        <v>0</v>
      </c>
      <c r="P96" s="14">
        <v>0</v>
      </c>
      <c r="Q96" s="14">
        <v>0</v>
      </c>
      <c r="R96" s="14">
        <v>0</v>
      </c>
      <c r="S96" s="14">
        <f t="shared" si="4"/>
        <v>0</v>
      </c>
      <c r="T96" s="14">
        <f t="shared" si="5"/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 t="s">
        <v>612</v>
      </c>
      <c r="AB96" s="16"/>
      <c r="AC96" s="16"/>
      <c r="AD96" s="16"/>
    </row>
    <row r="97" ht="21.75" customHeight="1" spans="1:30">
      <c r="A97" s="7">
        <f>97-5</f>
        <v>92</v>
      </c>
      <c r="B97" s="9" t="s">
        <v>6</v>
      </c>
      <c r="C97" s="10" t="s">
        <v>6</v>
      </c>
      <c r="D97" s="10" t="s">
        <v>6</v>
      </c>
      <c r="E97" s="10" t="s">
        <v>6</v>
      </c>
      <c r="F97" s="10" t="s">
        <v>6</v>
      </c>
      <c r="G97" s="9" t="s">
        <v>587</v>
      </c>
      <c r="H97" s="9" t="s">
        <v>6</v>
      </c>
      <c r="I97" s="9" t="s">
        <v>6</v>
      </c>
      <c r="J97" s="9" t="s">
        <v>6</v>
      </c>
      <c r="K97" s="9" t="s">
        <v>6</v>
      </c>
      <c r="L97" s="14">
        <v>10.08</v>
      </c>
      <c r="M97" s="14">
        <f t="shared" si="3"/>
        <v>10.08</v>
      </c>
      <c r="N97" s="14">
        <v>10.08</v>
      </c>
      <c r="O97" s="14">
        <v>0</v>
      </c>
      <c r="P97" s="14">
        <v>0</v>
      </c>
      <c r="Q97" s="14">
        <v>0</v>
      </c>
      <c r="R97" s="14">
        <v>0</v>
      </c>
      <c r="S97" s="14">
        <f t="shared" si="4"/>
        <v>0</v>
      </c>
      <c r="T97" s="14">
        <f t="shared" si="5"/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 t="s">
        <v>6</v>
      </c>
      <c r="AB97" s="16"/>
      <c r="AC97" s="16"/>
      <c r="AD97" s="16"/>
    </row>
    <row r="98" ht="21.75" customHeight="1" spans="1:30">
      <c r="A98" s="7">
        <f>98-5</f>
        <v>93</v>
      </c>
      <c r="B98" s="9" t="s">
        <v>6</v>
      </c>
      <c r="C98" s="10" t="s">
        <v>6</v>
      </c>
      <c r="D98" s="10" t="s">
        <v>6</v>
      </c>
      <c r="E98" s="10" t="s">
        <v>6</v>
      </c>
      <c r="F98" s="10" t="s">
        <v>6</v>
      </c>
      <c r="G98" s="9" t="s">
        <v>6</v>
      </c>
      <c r="H98" s="9" t="s">
        <v>588</v>
      </c>
      <c r="I98" s="9" t="s">
        <v>657</v>
      </c>
      <c r="J98" s="9"/>
      <c r="K98" s="9" t="s">
        <v>559</v>
      </c>
      <c r="L98" s="14">
        <v>10.08</v>
      </c>
      <c r="M98" s="14">
        <f t="shared" si="3"/>
        <v>10.08</v>
      </c>
      <c r="N98" s="14">
        <v>10.08</v>
      </c>
      <c r="O98" s="14">
        <v>0</v>
      </c>
      <c r="P98" s="14">
        <v>0</v>
      </c>
      <c r="Q98" s="14">
        <v>0</v>
      </c>
      <c r="R98" s="14">
        <v>0</v>
      </c>
      <c r="S98" s="14">
        <f t="shared" si="4"/>
        <v>0</v>
      </c>
      <c r="T98" s="14">
        <f t="shared" si="5"/>
        <v>0</v>
      </c>
      <c r="U98" s="14">
        <v>0</v>
      </c>
      <c r="V98" s="14">
        <v>0</v>
      </c>
      <c r="W98" s="14">
        <v>0</v>
      </c>
      <c r="X98" s="14">
        <v>0</v>
      </c>
      <c r="Y98" s="14">
        <v>0</v>
      </c>
      <c r="Z98" s="14">
        <v>0</v>
      </c>
      <c r="AA98" s="14" t="s">
        <v>612</v>
      </c>
      <c r="AB98" s="16"/>
      <c r="AC98" s="16"/>
      <c r="AD98" s="16"/>
    </row>
    <row r="99" ht="21.75" customHeight="1" spans="1:30">
      <c r="A99" s="7">
        <f>99-5</f>
        <v>94</v>
      </c>
      <c r="B99" s="9" t="s">
        <v>6</v>
      </c>
      <c r="C99" s="10" t="s">
        <v>6</v>
      </c>
      <c r="D99" s="10" t="s">
        <v>6</v>
      </c>
      <c r="E99" s="10" t="s">
        <v>658</v>
      </c>
      <c r="F99" s="10" t="s">
        <v>6</v>
      </c>
      <c r="G99" s="9" t="s">
        <v>6</v>
      </c>
      <c r="H99" s="9" t="s">
        <v>6</v>
      </c>
      <c r="I99" s="9" t="s">
        <v>6</v>
      </c>
      <c r="J99" s="9" t="s">
        <v>6</v>
      </c>
      <c r="K99" s="9" t="s">
        <v>6</v>
      </c>
      <c r="L99" s="14">
        <v>10.5</v>
      </c>
      <c r="M99" s="14">
        <f t="shared" si="3"/>
        <v>10.5</v>
      </c>
      <c r="N99" s="14">
        <v>10.5</v>
      </c>
      <c r="O99" s="14">
        <v>0</v>
      </c>
      <c r="P99" s="14">
        <v>0</v>
      </c>
      <c r="Q99" s="14">
        <v>0</v>
      </c>
      <c r="R99" s="14">
        <v>0</v>
      </c>
      <c r="S99" s="14">
        <f t="shared" si="4"/>
        <v>0</v>
      </c>
      <c r="T99" s="14">
        <f t="shared" si="5"/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 t="s">
        <v>6</v>
      </c>
      <c r="AB99" s="16"/>
      <c r="AC99" s="16"/>
      <c r="AD99" s="16"/>
    </row>
    <row r="100" ht="21.75" customHeight="1" spans="1:30">
      <c r="A100" s="7">
        <f>100-5</f>
        <v>95</v>
      </c>
      <c r="B100" s="9" t="s">
        <v>6</v>
      </c>
      <c r="C100" s="10" t="s">
        <v>6</v>
      </c>
      <c r="D100" s="10" t="s">
        <v>6</v>
      </c>
      <c r="E100" s="10" t="s">
        <v>6</v>
      </c>
      <c r="F100" s="10" t="s">
        <v>407</v>
      </c>
      <c r="G100" s="9" t="s">
        <v>6</v>
      </c>
      <c r="H100" s="9" t="s">
        <v>6</v>
      </c>
      <c r="I100" s="9" t="s">
        <v>6</v>
      </c>
      <c r="J100" s="9" t="s">
        <v>6</v>
      </c>
      <c r="K100" s="9" t="s">
        <v>6</v>
      </c>
      <c r="L100" s="14">
        <v>10.5</v>
      </c>
      <c r="M100" s="14">
        <f t="shared" si="3"/>
        <v>10.5</v>
      </c>
      <c r="N100" s="14">
        <v>10.5</v>
      </c>
      <c r="O100" s="14">
        <v>0</v>
      </c>
      <c r="P100" s="14">
        <v>0</v>
      </c>
      <c r="Q100" s="14">
        <v>0</v>
      </c>
      <c r="R100" s="14">
        <v>0</v>
      </c>
      <c r="S100" s="14">
        <f t="shared" si="4"/>
        <v>0</v>
      </c>
      <c r="T100" s="14">
        <f t="shared" si="5"/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 t="s">
        <v>6</v>
      </c>
      <c r="AB100" s="16"/>
      <c r="AC100" s="16"/>
      <c r="AD100" s="16"/>
    </row>
    <row r="101" ht="21.75" customHeight="1" spans="1:30">
      <c r="A101" s="7">
        <f>101-5</f>
        <v>96</v>
      </c>
      <c r="B101" s="9" t="s">
        <v>6</v>
      </c>
      <c r="C101" s="10" t="s">
        <v>6</v>
      </c>
      <c r="D101" s="10" t="s">
        <v>6</v>
      </c>
      <c r="E101" s="10" t="s">
        <v>6</v>
      </c>
      <c r="F101" s="10" t="s">
        <v>6</v>
      </c>
      <c r="G101" s="9" t="s">
        <v>572</v>
      </c>
      <c r="H101" s="9" t="s">
        <v>6</v>
      </c>
      <c r="I101" s="9" t="s">
        <v>6</v>
      </c>
      <c r="J101" s="9" t="s">
        <v>6</v>
      </c>
      <c r="K101" s="9" t="s">
        <v>6</v>
      </c>
      <c r="L101" s="14">
        <v>2.4</v>
      </c>
      <c r="M101" s="14">
        <f t="shared" si="3"/>
        <v>2.4</v>
      </c>
      <c r="N101" s="14">
        <v>2.4</v>
      </c>
      <c r="O101" s="14">
        <v>0</v>
      </c>
      <c r="P101" s="14">
        <v>0</v>
      </c>
      <c r="Q101" s="14">
        <v>0</v>
      </c>
      <c r="R101" s="14">
        <v>0</v>
      </c>
      <c r="S101" s="14">
        <f t="shared" si="4"/>
        <v>0</v>
      </c>
      <c r="T101" s="14">
        <f t="shared" si="5"/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 t="s">
        <v>6</v>
      </c>
      <c r="AB101" s="16"/>
      <c r="AC101" s="16"/>
      <c r="AD101" s="16"/>
    </row>
    <row r="102" ht="21.75" customHeight="1" spans="1:30">
      <c r="A102" s="7">
        <f>102-5</f>
        <v>97</v>
      </c>
      <c r="B102" s="9" t="s">
        <v>6</v>
      </c>
      <c r="C102" s="10" t="s">
        <v>6</v>
      </c>
      <c r="D102" s="10" t="s">
        <v>6</v>
      </c>
      <c r="E102" s="10" t="s">
        <v>6</v>
      </c>
      <c r="F102" s="10" t="s">
        <v>6</v>
      </c>
      <c r="G102" s="9" t="s">
        <v>6</v>
      </c>
      <c r="H102" s="9" t="s">
        <v>573</v>
      </c>
      <c r="I102" s="9" t="s">
        <v>646</v>
      </c>
      <c r="J102" s="9"/>
      <c r="K102" s="9" t="s">
        <v>559</v>
      </c>
      <c r="L102" s="14">
        <v>2.4</v>
      </c>
      <c r="M102" s="14">
        <f t="shared" si="3"/>
        <v>2.4</v>
      </c>
      <c r="N102" s="14">
        <v>2.4</v>
      </c>
      <c r="O102" s="14">
        <v>0</v>
      </c>
      <c r="P102" s="14">
        <v>0</v>
      </c>
      <c r="Q102" s="14">
        <v>0</v>
      </c>
      <c r="R102" s="14">
        <v>0</v>
      </c>
      <c r="S102" s="14">
        <f t="shared" si="4"/>
        <v>0</v>
      </c>
      <c r="T102" s="14">
        <f t="shared" si="5"/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 t="s">
        <v>612</v>
      </c>
      <c r="AB102" s="16"/>
      <c r="AC102" s="16"/>
      <c r="AD102" s="16"/>
    </row>
    <row r="103" ht="21.75" customHeight="1" spans="1:30">
      <c r="A103" s="7">
        <f>103-5</f>
        <v>98</v>
      </c>
      <c r="B103" s="9" t="s">
        <v>6</v>
      </c>
      <c r="C103" s="10" t="s">
        <v>6</v>
      </c>
      <c r="D103" s="10" t="s">
        <v>6</v>
      </c>
      <c r="E103" s="10" t="s">
        <v>6</v>
      </c>
      <c r="F103" s="10" t="s">
        <v>6</v>
      </c>
      <c r="G103" s="9" t="s">
        <v>593</v>
      </c>
      <c r="H103" s="9" t="s">
        <v>6</v>
      </c>
      <c r="I103" s="9" t="s">
        <v>6</v>
      </c>
      <c r="J103" s="9" t="s">
        <v>6</v>
      </c>
      <c r="K103" s="9" t="s">
        <v>6</v>
      </c>
      <c r="L103" s="14">
        <v>0.6</v>
      </c>
      <c r="M103" s="14">
        <f t="shared" si="3"/>
        <v>0.6</v>
      </c>
      <c r="N103" s="14">
        <v>0.6</v>
      </c>
      <c r="O103" s="14">
        <v>0</v>
      </c>
      <c r="P103" s="14">
        <v>0</v>
      </c>
      <c r="Q103" s="14">
        <v>0</v>
      </c>
      <c r="R103" s="14">
        <v>0</v>
      </c>
      <c r="S103" s="14">
        <f t="shared" si="4"/>
        <v>0</v>
      </c>
      <c r="T103" s="14">
        <f t="shared" si="5"/>
        <v>0</v>
      </c>
      <c r="U103" s="14">
        <v>0</v>
      </c>
      <c r="V103" s="14">
        <v>0</v>
      </c>
      <c r="W103" s="14">
        <v>0</v>
      </c>
      <c r="X103" s="14">
        <v>0</v>
      </c>
      <c r="Y103" s="14">
        <v>0</v>
      </c>
      <c r="Z103" s="14">
        <v>0</v>
      </c>
      <c r="AA103" s="14" t="s">
        <v>6</v>
      </c>
      <c r="AB103" s="16"/>
      <c r="AC103" s="16"/>
      <c r="AD103" s="16"/>
    </row>
    <row r="104" ht="21.75" customHeight="1" spans="1:30">
      <c r="A104" s="7">
        <f>104-5</f>
        <v>99</v>
      </c>
      <c r="B104" s="9" t="s">
        <v>6</v>
      </c>
      <c r="C104" s="10" t="s">
        <v>6</v>
      </c>
      <c r="D104" s="10" t="s">
        <v>6</v>
      </c>
      <c r="E104" s="10" t="s">
        <v>6</v>
      </c>
      <c r="F104" s="10" t="s">
        <v>6</v>
      </c>
      <c r="G104" s="9" t="s">
        <v>6</v>
      </c>
      <c r="H104" s="9" t="s">
        <v>594</v>
      </c>
      <c r="I104" s="9" t="s">
        <v>646</v>
      </c>
      <c r="J104" s="9"/>
      <c r="K104" s="9" t="s">
        <v>559</v>
      </c>
      <c r="L104" s="14">
        <v>0.6</v>
      </c>
      <c r="M104" s="14">
        <f t="shared" si="3"/>
        <v>0.6</v>
      </c>
      <c r="N104" s="14">
        <v>0.6</v>
      </c>
      <c r="O104" s="14">
        <v>0</v>
      </c>
      <c r="P104" s="14">
        <v>0</v>
      </c>
      <c r="Q104" s="14">
        <v>0</v>
      </c>
      <c r="R104" s="14">
        <v>0</v>
      </c>
      <c r="S104" s="14">
        <f t="shared" si="4"/>
        <v>0</v>
      </c>
      <c r="T104" s="14">
        <f t="shared" si="5"/>
        <v>0</v>
      </c>
      <c r="U104" s="14">
        <v>0</v>
      </c>
      <c r="V104" s="14">
        <v>0</v>
      </c>
      <c r="W104" s="14">
        <v>0</v>
      </c>
      <c r="X104" s="14">
        <v>0</v>
      </c>
      <c r="Y104" s="14">
        <v>0</v>
      </c>
      <c r="Z104" s="14">
        <v>0</v>
      </c>
      <c r="AA104" s="14" t="s">
        <v>612</v>
      </c>
      <c r="AB104" s="16"/>
      <c r="AC104" s="16"/>
      <c r="AD104" s="16"/>
    </row>
    <row r="105" ht="21.75" customHeight="1" spans="1:30">
      <c r="A105" s="7">
        <f>105-5</f>
        <v>100</v>
      </c>
      <c r="B105" s="9" t="s">
        <v>6</v>
      </c>
      <c r="C105" s="10" t="s">
        <v>6</v>
      </c>
      <c r="D105" s="10" t="s">
        <v>6</v>
      </c>
      <c r="E105" s="10" t="s">
        <v>6</v>
      </c>
      <c r="F105" s="10" t="s">
        <v>6</v>
      </c>
      <c r="G105" s="9" t="s">
        <v>590</v>
      </c>
      <c r="H105" s="9" t="s">
        <v>6</v>
      </c>
      <c r="I105" s="9" t="s">
        <v>6</v>
      </c>
      <c r="J105" s="9" t="s">
        <v>6</v>
      </c>
      <c r="K105" s="9" t="s">
        <v>6</v>
      </c>
      <c r="L105" s="14">
        <v>7.5</v>
      </c>
      <c r="M105" s="14">
        <f t="shared" si="3"/>
        <v>7.5</v>
      </c>
      <c r="N105" s="14">
        <v>7.5</v>
      </c>
      <c r="O105" s="14">
        <v>0</v>
      </c>
      <c r="P105" s="14">
        <v>0</v>
      </c>
      <c r="Q105" s="14">
        <v>0</v>
      </c>
      <c r="R105" s="14">
        <v>0</v>
      </c>
      <c r="S105" s="14">
        <f t="shared" si="4"/>
        <v>0</v>
      </c>
      <c r="T105" s="14">
        <f t="shared" si="5"/>
        <v>0</v>
      </c>
      <c r="U105" s="14">
        <v>0</v>
      </c>
      <c r="V105" s="14">
        <v>0</v>
      </c>
      <c r="W105" s="14">
        <v>0</v>
      </c>
      <c r="X105" s="14">
        <v>0</v>
      </c>
      <c r="Y105" s="14">
        <v>0</v>
      </c>
      <c r="Z105" s="14">
        <v>0</v>
      </c>
      <c r="AA105" s="14" t="s">
        <v>6</v>
      </c>
      <c r="AB105" s="16"/>
      <c r="AC105" s="16"/>
      <c r="AD105" s="16"/>
    </row>
    <row r="106" ht="21.75" customHeight="1" spans="1:30">
      <c r="A106" s="7">
        <f>106-5</f>
        <v>101</v>
      </c>
      <c r="B106" s="9" t="s">
        <v>6</v>
      </c>
      <c r="C106" s="10" t="s">
        <v>6</v>
      </c>
      <c r="D106" s="10" t="s">
        <v>6</v>
      </c>
      <c r="E106" s="10" t="s">
        <v>6</v>
      </c>
      <c r="F106" s="10" t="s">
        <v>6</v>
      </c>
      <c r="G106" s="9" t="s">
        <v>6</v>
      </c>
      <c r="H106" s="9" t="s">
        <v>591</v>
      </c>
      <c r="I106" s="9" t="s">
        <v>656</v>
      </c>
      <c r="J106" s="9"/>
      <c r="K106" s="9" t="s">
        <v>559</v>
      </c>
      <c r="L106" s="14">
        <v>7.5</v>
      </c>
      <c r="M106" s="14">
        <f t="shared" si="3"/>
        <v>7.5</v>
      </c>
      <c r="N106" s="14">
        <v>7.5</v>
      </c>
      <c r="O106" s="14">
        <v>0</v>
      </c>
      <c r="P106" s="14">
        <v>0</v>
      </c>
      <c r="Q106" s="14">
        <v>0</v>
      </c>
      <c r="R106" s="14">
        <v>0</v>
      </c>
      <c r="S106" s="14">
        <f t="shared" si="4"/>
        <v>0</v>
      </c>
      <c r="T106" s="14">
        <f t="shared" si="5"/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 t="s">
        <v>612</v>
      </c>
      <c r="AB106" s="16"/>
      <c r="AC106" s="16"/>
      <c r="AD106" s="16"/>
    </row>
    <row r="107" ht="21.75" customHeight="1" spans="1:30">
      <c r="A107" s="7">
        <f>107-5</f>
        <v>102</v>
      </c>
      <c r="B107" s="9" t="s">
        <v>6</v>
      </c>
      <c r="C107" s="10" t="s">
        <v>6</v>
      </c>
      <c r="D107" s="10" t="s">
        <v>6</v>
      </c>
      <c r="E107" s="10" t="s">
        <v>659</v>
      </c>
      <c r="F107" s="10" t="s">
        <v>6</v>
      </c>
      <c r="G107" s="9" t="s">
        <v>6</v>
      </c>
      <c r="H107" s="9" t="s">
        <v>6</v>
      </c>
      <c r="I107" s="9" t="s">
        <v>6</v>
      </c>
      <c r="J107" s="9" t="s">
        <v>6</v>
      </c>
      <c r="K107" s="9" t="s">
        <v>6</v>
      </c>
      <c r="L107" s="14">
        <v>2342.76</v>
      </c>
      <c r="M107" s="14">
        <f t="shared" si="3"/>
        <v>2342.76</v>
      </c>
      <c r="N107" s="14">
        <v>2342.76</v>
      </c>
      <c r="O107" s="14">
        <v>0</v>
      </c>
      <c r="P107" s="14">
        <v>0</v>
      </c>
      <c r="Q107" s="14">
        <v>0</v>
      </c>
      <c r="R107" s="14">
        <v>0</v>
      </c>
      <c r="S107" s="14">
        <f t="shared" si="4"/>
        <v>0</v>
      </c>
      <c r="T107" s="14">
        <f t="shared" si="5"/>
        <v>0</v>
      </c>
      <c r="U107" s="14">
        <v>0</v>
      </c>
      <c r="V107" s="14">
        <v>0</v>
      </c>
      <c r="W107" s="14">
        <v>0</v>
      </c>
      <c r="X107" s="14">
        <v>0</v>
      </c>
      <c r="Y107" s="14">
        <v>0</v>
      </c>
      <c r="Z107" s="14">
        <v>0</v>
      </c>
      <c r="AA107" s="14" t="s">
        <v>6</v>
      </c>
      <c r="AB107" s="16"/>
      <c r="AC107" s="16"/>
      <c r="AD107" s="16"/>
    </row>
    <row r="108" ht="21.75" customHeight="1" spans="1:30">
      <c r="A108" s="7">
        <f>108-5</f>
        <v>103</v>
      </c>
      <c r="B108" s="9" t="s">
        <v>6</v>
      </c>
      <c r="C108" s="10" t="s">
        <v>6</v>
      </c>
      <c r="D108" s="10" t="s">
        <v>6</v>
      </c>
      <c r="E108" s="10" t="s">
        <v>6</v>
      </c>
      <c r="F108" s="10" t="s">
        <v>344</v>
      </c>
      <c r="G108" s="9" t="s">
        <v>6</v>
      </c>
      <c r="H108" s="9" t="s">
        <v>6</v>
      </c>
      <c r="I108" s="9" t="s">
        <v>6</v>
      </c>
      <c r="J108" s="9" t="s">
        <v>6</v>
      </c>
      <c r="K108" s="9" t="s">
        <v>6</v>
      </c>
      <c r="L108" s="14">
        <v>233</v>
      </c>
      <c r="M108" s="14">
        <f t="shared" si="3"/>
        <v>233</v>
      </c>
      <c r="N108" s="14">
        <v>233</v>
      </c>
      <c r="O108" s="14">
        <v>0</v>
      </c>
      <c r="P108" s="14">
        <v>0</v>
      </c>
      <c r="Q108" s="14">
        <v>0</v>
      </c>
      <c r="R108" s="14">
        <v>0</v>
      </c>
      <c r="S108" s="14">
        <f t="shared" si="4"/>
        <v>0</v>
      </c>
      <c r="T108" s="14">
        <f t="shared" si="5"/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 t="s">
        <v>6</v>
      </c>
      <c r="AB108" s="16"/>
      <c r="AC108" s="16"/>
      <c r="AD108" s="16"/>
    </row>
    <row r="109" ht="21.75" customHeight="1" spans="1:30">
      <c r="A109" s="7">
        <f>109-5</f>
        <v>104</v>
      </c>
      <c r="B109" s="9" t="s">
        <v>6</v>
      </c>
      <c r="C109" s="10" t="s">
        <v>6</v>
      </c>
      <c r="D109" s="10" t="s">
        <v>6</v>
      </c>
      <c r="E109" s="10" t="s">
        <v>6</v>
      </c>
      <c r="F109" s="10" t="s">
        <v>6</v>
      </c>
      <c r="G109" s="9" t="s">
        <v>345</v>
      </c>
      <c r="H109" s="9" t="s">
        <v>6</v>
      </c>
      <c r="I109" s="9" t="s">
        <v>6</v>
      </c>
      <c r="J109" s="9" t="s">
        <v>6</v>
      </c>
      <c r="K109" s="9" t="s">
        <v>6</v>
      </c>
      <c r="L109" s="14">
        <v>83</v>
      </c>
      <c r="M109" s="14">
        <f t="shared" si="3"/>
        <v>83</v>
      </c>
      <c r="N109" s="14">
        <v>83</v>
      </c>
      <c r="O109" s="14">
        <v>0</v>
      </c>
      <c r="P109" s="14">
        <v>0</v>
      </c>
      <c r="Q109" s="14">
        <v>0</v>
      </c>
      <c r="R109" s="14">
        <v>0</v>
      </c>
      <c r="S109" s="14">
        <f t="shared" si="4"/>
        <v>0</v>
      </c>
      <c r="T109" s="14">
        <f t="shared" si="5"/>
        <v>0</v>
      </c>
      <c r="U109" s="14">
        <v>0</v>
      </c>
      <c r="V109" s="14">
        <v>0</v>
      </c>
      <c r="W109" s="14">
        <v>0</v>
      </c>
      <c r="X109" s="14">
        <v>0</v>
      </c>
      <c r="Y109" s="14">
        <v>0</v>
      </c>
      <c r="Z109" s="14">
        <v>0</v>
      </c>
      <c r="AA109" s="14" t="s">
        <v>6</v>
      </c>
      <c r="AB109" s="16"/>
      <c r="AC109" s="16"/>
      <c r="AD109" s="16"/>
    </row>
    <row r="110" ht="21.75" customHeight="1" spans="1:30">
      <c r="A110" s="7">
        <f>110-5</f>
        <v>105</v>
      </c>
      <c r="B110" s="9" t="s">
        <v>6</v>
      </c>
      <c r="C110" s="10" t="s">
        <v>6</v>
      </c>
      <c r="D110" s="10" t="s">
        <v>6</v>
      </c>
      <c r="E110" s="10" t="s">
        <v>6</v>
      </c>
      <c r="F110" s="10" t="s">
        <v>6</v>
      </c>
      <c r="G110" s="9" t="s">
        <v>6</v>
      </c>
      <c r="H110" s="9" t="s">
        <v>349</v>
      </c>
      <c r="I110" s="9" t="s">
        <v>660</v>
      </c>
      <c r="J110" s="9"/>
      <c r="K110" s="9" t="s">
        <v>559</v>
      </c>
      <c r="L110" s="14">
        <v>4</v>
      </c>
      <c r="M110" s="14">
        <f t="shared" si="3"/>
        <v>4</v>
      </c>
      <c r="N110" s="14">
        <v>4</v>
      </c>
      <c r="O110" s="14">
        <v>0</v>
      </c>
      <c r="P110" s="14">
        <v>0</v>
      </c>
      <c r="Q110" s="14">
        <v>0</v>
      </c>
      <c r="R110" s="14">
        <v>0</v>
      </c>
      <c r="S110" s="14">
        <f t="shared" si="4"/>
        <v>0</v>
      </c>
      <c r="T110" s="14">
        <f t="shared" si="5"/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 t="s">
        <v>612</v>
      </c>
      <c r="AB110" s="16"/>
      <c r="AC110" s="16"/>
      <c r="AD110" s="16"/>
    </row>
    <row r="111" ht="21.75" customHeight="1" spans="1:30">
      <c r="A111" s="7">
        <f>111-5</f>
        <v>106</v>
      </c>
      <c r="B111" s="9" t="s">
        <v>6</v>
      </c>
      <c r="C111" s="10" t="s">
        <v>6</v>
      </c>
      <c r="D111" s="10" t="s">
        <v>6</v>
      </c>
      <c r="E111" s="10" t="s">
        <v>6</v>
      </c>
      <c r="F111" s="10" t="s">
        <v>6</v>
      </c>
      <c r="G111" s="9" t="s">
        <v>6</v>
      </c>
      <c r="H111" s="9" t="s">
        <v>348</v>
      </c>
      <c r="I111" s="9" t="s">
        <v>660</v>
      </c>
      <c r="J111" s="9"/>
      <c r="K111" s="9" t="s">
        <v>559</v>
      </c>
      <c r="L111" s="14">
        <v>2</v>
      </c>
      <c r="M111" s="14">
        <f t="shared" si="3"/>
        <v>2</v>
      </c>
      <c r="N111" s="14">
        <v>2</v>
      </c>
      <c r="O111" s="14">
        <v>0</v>
      </c>
      <c r="P111" s="14">
        <v>0</v>
      </c>
      <c r="Q111" s="14">
        <v>0</v>
      </c>
      <c r="R111" s="14">
        <v>0</v>
      </c>
      <c r="S111" s="14">
        <f t="shared" si="4"/>
        <v>0</v>
      </c>
      <c r="T111" s="14">
        <f t="shared" si="5"/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 t="s">
        <v>612</v>
      </c>
      <c r="AB111" s="16"/>
      <c r="AC111" s="16"/>
      <c r="AD111" s="16"/>
    </row>
    <row r="112" ht="21.75" customHeight="1" spans="1:30">
      <c r="A112" s="7">
        <f>112-5</f>
        <v>107</v>
      </c>
      <c r="B112" s="9" t="s">
        <v>6</v>
      </c>
      <c r="C112" s="10" t="s">
        <v>6</v>
      </c>
      <c r="D112" s="10" t="s">
        <v>6</v>
      </c>
      <c r="E112" s="10" t="s">
        <v>6</v>
      </c>
      <c r="F112" s="10" t="s">
        <v>6</v>
      </c>
      <c r="G112" s="9" t="s">
        <v>6</v>
      </c>
      <c r="H112" s="9" t="s">
        <v>347</v>
      </c>
      <c r="I112" s="9" t="s">
        <v>660</v>
      </c>
      <c r="J112" s="9"/>
      <c r="K112" s="9" t="s">
        <v>559</v>
      </c>
      <c r="L112" s="14">
        <v>7</v>
      </c>
      <c r="M112" s="14">
        <f t="shared" si="3"/>
        <v>7</v>
      </c>
      <c r="N112" s="14">
        <v>7</v>
      </c>
      <c r="O112" s="14">
        <v>0</v>
      </c>
      <c r="P112" s="14">
        <v>0</v>
      </c>
      <c r="Q112" s="14">
        <v>0</v>
      </c>
      <c r="R112" s="14">
        <v>0</v>
      </c>
      <c r="S112" s="14">
        <f t="shared" si="4"/>
        <v>0</v>
      </c>
      <c r="T112" s="14">
        <f t="shared" si="5"/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 t="s">
        <v>612</v>
      </c>
      <c r="AB112" s="16"/>
      <c r="AC112" s="16"/>
      <c r="AD112" s="16"/>
    </row>
    <row r="113" ht="21.75" customHeight="1" spans="1:30">
      <c r="A113" s="7">
        <f>113-5</f>
        <v>108</v>
      </c>
      <c r="B113" s="9" t="s">
        <v>6</v>
      </c>
      <c r="C113" s="10" t="s">
        <v>6</v>
      </c>
      <c r="D113" s="10" t="s">
        <v>6</v>
      </c>
      <c r="E113" s="10" t="s">
        <v>6</v>
      </c>
      <c r="F113" s="10" t="s">
        <v>6</v>
      </c>
      <c r="G113" s="9" t="s">
        <v>6</v>
      </c>
      <c r="H113" s="9" t="s">
        <v>346</v>
      </c>
      <c r="I113" s="9" t="s">
        <v>661</v>
      </c>
      <c r="J113" s="9"/>
      <c r="K113" s="9" t="s">
        <v>559</v>
      </c>
      <c r="L113" s="14">
        <v>20</v>
      </c>
      <c r="M113" s="14">
        <f t="shared" si="3"/>
        <v>20</v>
      </c>
      <c r="N113" s="14">
        <v>20</v>
      </c>
      <c r="O113" s="14">
        <v>0</v>
      </c>
      <c r="P113" s="14">
        <v>0</v>
      </c>
      <c r="Q113" s="14">
        <v>0</v>
      </c>
      <c r="R113" s="14">
        <v>0</v>
      </c>
      <c r="S113" s="14">
        <f t="shared" si="4"/>
        <v>0</v>
      </c>
      <c r="T113" s="14">
        <f t="shared" si="5"/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 t="s">
        <v>612</v>
      </c>
      <c r="AB113" s="16"/>
      <c r="AC113" s="16"/>
      <c r="AD113" s="16"/>
    </row>
    <row r="114" ht="21.75" customHeight="1" spans="1:30">
      <c r="A114" s="7">
        <f>114-5</f>
        <v>109</v>
      </c>
      <c r="B114" s="9" t="s">
        <v>6</v>
      </c>
      <c r="C114" s="10" t="s">
        <v>6</v>
      </c>
      <c r="D114" s="10" t="s">
        <v>6</v>
      </c>
      <c r="E114" s="10" t="s">
        <v>6</v>
      </c>
      <c r="F114" s="10" t="s">
        <v>6</v>
      </c>
      <c r="G114" s="9" t="s">
        <v>6</v>
      </c>
      <c r="H114" s="9" t="s">
        <v>350</v>
      </c>
      <c r="I114" s="9" t="s">
        <v>660</v>
      </c>
      <c r="J114" s="9"/>
      <c r="K114" s="9" t="s">
        <v>559</v>
      </c>
      <c r="L114" s="14">
        <v>35</v>
      </c>
      <c r="M114" s="14">
        <f t="shared" si="3"/>
        <v>35</v>
      </c>
      <c r="N114" s="14">
        <v>35</v>
      </c>
      <c r="O114" s="14">
        <v>0</v>
      </c>
      <c r="P114" s="14">
        <v>0</v>
      </c>
      <c r="Q114" s="14">
        <v>0</v>
      </c>
      <c r="R114" s="14">
        <v>0</v>
      </c>
      <c r="S114" s="14">
        <f t="shared" si="4"/>
        <v>0</v>
      </c>
      <c r="T114" s="14">
        <f t="shared" si="5"/>
        <v>0</v>
      </c>
      <c r="U114" s="14">
        <v>0</v>
      </c>
      <c r="V114" s="14">
        <v>0</v>
      </c>
      <c r="W114" s="14">
        <v>0</v>
      </c>
      <c r="X114" s="14">
        <v>0</v>
      </c>
      <c r="Y114" s="14">
        <v>0</v>
      </c>
      <c r="Z114" s="14">
        <v>0</v>
      </c>
      <c r="AA114" s="14" t="s">
        <v>612</v>
      </c>
      <c r="AB114" s="16"/>
      <c r="AC114" s="16"/>
      <c r="AD114" s="16"/>
    </row>
    <row r="115" ht="21.75" customHeight="1" spans="1:30">
      <c r="A115" s="7">
        <f>115-5</f>
        <v>110</v>
      </c>
      <c r="B115" s="9" t="s">
        <v>6</v>
      </c>
      <c r="C115" s="10" t="s">
        <v>6</v>
      </c>
      <c r="D115" s="10" t="s">
        <v>6</v>
      </c>
      <c r="E115" s="10" t="s">
        <v>6</v>
      </c>
      <c r="F115" s="10" t="s">
        <v>6</v>
      </c>
      <c r="G115" s="9" t="s">
        <v>6</v>
      </c>
      <c r="H115" s="9" t="s">
        <v>351</v>
      </c>
      <c r="I115" s="9" t="s">
        <v>660</v>
      </c>
      <c r="J115" s="9"/>
      <c r="K115" s="9" t="s">
        <v>559</v>
      </c>
      <c r="L115" s="14">
        <v>15</v>
      </c>
      <c r="M115" s="14">
        <f t="shared" si="3"/>
        <v>15</v>
      </c>
      <c r="N115" s="14">
        <v>15</v>
      </c>
      <c r="O115" s="14">
        <v>0</v>
      </c>
      <c r="P115" s="14">
        <v>0</v>
      </c>
      <c r="Q115" s="14">
        <v>0</v>
      </c>
      <c r="R115" s="14">
        <v>0</v>
      </c>
      <c r="S115" s="14">
        <f t="shared" si="4"/>
        <v>0</v>
      </c>
      <c r="T115" s="14">
        <f t="shared" si="5"/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 t="s">
        <v>612</v>
      </c>
      <c r="AB115" s="16"/>
      <c r="AC115" s="16"/>
      <c r="AD115" s="16"/>
    </row>
    <row r="116" ht="21.75" customHeight="1" spans="1:30">
      <c r="A116" s="7">
        <f>116-5</f>
        <v>111</v>
      </c>
      <c r="B116" s="9" t="s">
        <v>6</v>
      </c>
      <c r="C116" s="10" t="s">
        <v>6</v>
      </c>
      <c r="D116" s="10" t="s">
        <v>6</v>
      </c>
      <c r="E116" s="10" t="s">
        <v>6</v>
      </c>
      <c r="F116" s="10" t="s">
        <v>6</v>
      </c>
      <c r="G116" s="9" t="s">
        <v>353</v>
      </c>
      <c r="H116" s="9" t="s">
        <v>6</v>
      </c>
      <c r="I116" s="9" t="s">
        <v>6</v>
      </c>
      <c r="J116" s="9" t="s">
        <v>6</v>
      </c>
      <c r="K116" s="9" t="s">
        <v>6</v>
      </c>
      <c r="L116" s="14">
        <v>150</v>
      </c>
      <c r="M116" s="14">
        <f t="shared" si="3"/>
        <v>150</v>
      </c>
      <c r="N116" s="14">
        <v>150</v>
      </c>
      <c r="O116" s="14">
        <v>0</v>
      </c>
      <c r="P116" s="14">
        <v>0</v>
      </c>
      <c r="Q116" s="14">
        <v>0</v>
      </c>
      <c r="R116" s="14">
        <v>0</v>
      </c>
      <c r="S116" s="14">
        <f t="shared" si="4"/>
        <v>0</v>
      </c>
      <c r="T116" s="14">
        <f t="shared" si="5"/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 t="s">
        <v>6</v>
      </c>
      <c r="AB116" s="16"/>
      <c r="AC116" s="16"/>
      <c r="AD116" s="16"/>
    </row>
    <row r="117" ht="21.75" customHeight="1" spans="1:30">
      <c r="A117" s="7">
        <f>117-5</f>
        <v>112</v>
      </c>
      <c r="B117" s="9" t="s">
        <v>6</v>
      </c>
      <c r="C117" s="10" t="s">
        <v>6</v>
      </c>
      <c r="D117" s="10" t="s">
        <v>6</v>
      </c>
      <c r="E117" s="10" t="s">
        <v>6</v>
      </c>
      <c r="F117" s="10" t="s">
        <v>6</v>
      </c>
      <c r="G117" s="9" t="s">
        <v>6</v>
      </c>
      <c r="H117" s="9" t="s">
        <v>357</v>
      </c>
      <c r="I117" s="9" t="s">
        <v>662</v>
      </c>
      <c r="J117" s="9"/>
      <c r="K117" s="9" t="s">
        <v>559</v>
      </c>
      <c r="L117" s="14">
        <v>4</v>
      </c>
      <c r="M117" s="14">
        <f t="shared" si="3"/>
        <v>4</v>
      </c>
      <c r="N117" s="14">
        <v>4</v>
      </c>
      <c r="O117" s="14">
        <v>0</v>
      </c>
      <c r="P117" s="14">
        <v>0</v>
      </c>
      <c r="Q117" s="14">
        <v>0</v>
      </c>
      <c r="R117" s="14">
        <v>0</v>
      </c>
      <c r="S117" s="14">
        <f t="shared" si="4"/>
        <v>0</v>
      </c>
      <c r="T117" s="14">
        <f t="shared" si="5"/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 t="s">
        <v>612</v>
      </c>
      <c r="AB117" s="16"/>
      <c r="AC117" s="16"/>
      <c r="AD117" s="16"/>
    </row>
    <row r="118" ht="21.75" customHeight="1" spans="1:30">
      <c r="A118" s="7">
        <f>118-5</f>
        <v>113</v>
      </c>
      <c r="B118" s="9" t="s">
        <v>6</v>
      </c>
      <c r="C118" s="10" t="s">
        <v>6</v>
      </c>
      <c r="D118" s="10" t="s">
        <v>6</v>
      </c>
      <c r="E118" s="10" t="s">
        <v>6</v>
      </c>
      <c r="F118" s="10" t="s">
        <v>6</v>
      </c>
      <c r="G118" s="9" t="s">
        <v>6</v>
      </c>
      <c r="H118" s="9" t="s">
        <v>358</v>
      </c>
      <c r="I118" s="9" t="s">
        <v>642</v>
      </c>
      <c r="J118" s="9"/>
      <c r="K118" s="9" t="s">
        <v>559</v>
      </c>
      <c r="L118" s="14">
        <v>14</v>
      </c>
      <c r="M118" s="14">
        <f t="shared" si="3"/>
        <v>14</v>
      </c>
      <c r="N118" s="14">
        <v>14</v>
      </c>
      <c r="O118" s="14">
        <v>0</v>
      </c>
      <c r="P118" s="14">
        <v>0</v>
      </c>
      <c r="Q118" s="14">
        <v>0</v>
      </c>
      <c r="R118" s="14">
        <v>0</v>
      </c>
      <c r="S118" s="14">
        <f t="shared" si="4"/>
        <v>0</v>
      </c>
      <c r="T118" s="14">
        <f t="shared" si="5"/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0</v>
      </c>
      <c r="AA118" s="14" t="s">
        <v>612</v>
      </c>
      <c r="AB118" s="16"/>
      <c r="AC118" s="16"/>
      <c r="AD118" s="16"/>
    </row>
    <row r="119" ht="21.75" customHeight="1" spans="1:30">
      <c r="A119" s="7">
        <f>119-5</f>
        <v>114</v>
      </c>
      <c r="B119" s="9" t="s">
        <v>6</v>
      </c>
      <c r="C119" s="10" t="s">
        <v>6</v>
      </c>
      <c r="D119" s="10" t="s">
        <v>6</v>
      </c>
      <c r="E119" s="10" t="s">
        <v>6</v>
      </c>
      <c r="F119" s="10" t="s">
        <v>6</v>
      </c>
      <c r="G119" s="9" t="s">
        <v>6</v>
      </c>
      <c r="H119" s="9" t="s">
        <v>362</v>
      </c>
      <c r="I119" s="9" t="s">
        <v>642</v>
      </c>
      <c r="J119" s="9"/>
      <c r="K119" s="9" t="s">
        <v>559</v>
      </c>
      <c r="L119" s="14">
        <v>25</v>
      </c>
      <c r="M119" s="14">
        <f t="shared" si="3"/>
        <v>25</v>
      </c>
      <c r="N119" s="14">
        <v>25</v>
      </c>
      <c r="O119" s="14">
        <v>0</v>
      </c>
      <c r="P119" s="14">
        <v>0</v>
      </c>
      <c r="Q119" s="14">
        <v>0</v>
      </c>
      <c r="R119" s="14">
        <v>0</v>
      </c>
      <c r="S119" s="14">
        <f t="shared" si="4"/>
        <v>0</v>
      </c>
      <c r="T119" s="14">
        <f t="shared" si="5"/>
        <v>0</v>
      </c>
      <c r="U119" s="14">
        <v>0</v>
      </c>
      <c r="V119" s="14">
        <v>0</v>
      </c>
      <c r="W119" s="14">
        <v>0</v>
      </c>
      <c r="X119" s="14">
        <v>0</v>
      </c>
      <c r="Y119" s="14">
        <v>0</v>
      </c>
      <c r="Z119" s="14">
        <v>0</v>
      </c>
      <c r="AA119" s="14" t="s">
        <v>612</v>
      </c>
      <c r="AB119" s="16"/>
      <c r="AC119" s="16"/>
      <c r="AD119" s="16"/>
    </row>
    <row r="120" ht="21.75" customHeight="1" spans="1:30">
      <c r="A120" s="7">
        <f>120-5</f>
        <v>115</v>
      </c>
      <c r="B120" s="9" t="s">
        <v>6</v>
      </c>
      <c r="C120" s="10" t="s">
        <v>6</v>
      </c>
      <c r="D120" s="10" t="s">
        <v>6</v>
      </c>
      <c r="E120" s="10" t="s">
        <v>6</v>
      </c>
      <c r="F120" s="10" t="s">
        <v>6</v>
      </c>
      <c r="G120" s="9" t="s">
        <v>6</v>
      </c>
      <c r="H120" s="9" t="s">
        <v>356</v>
      </c>
      <c r="I120" s="9" t="s">
        <v>657</v>
      </c>
      <c r="J120" s="9"/>
      <c r="K120" s="9" t="s">
        <v>559</v>
      </c>
      <c r="L120" s="14">
        <v>46</v>
      </c>
      <c r="M120" s="14">
        <f t="shared" si="3"/>
        <v>46</v>
      </c>
      <c r="N120" s="14">
        <v>46</v>
      </c>
      <c r="O120" s="14">
        <v>0</v>
      </c>
      <c r="P120" s="14">
        <v>0</v>
      </c>
      <c r="Q120" s="14">
        <v>0</v>
      </c>
      <c r="R120" s="14">
        <v>0</v>
      </c>
      <c r="S120" s="14">
        <f t="shared" si="4"/>
        <v>0</v>
      </c>
      <c r="T120" s="14">
        <f t="shared" si="5"/>
        <v>0</v>
      </c>
      <c r="U120" s="14">
        <v>0</v>
      </c>
      <c r="V120" s="14">
        <v>0</v>
      </c>
      <c r="W120" s="14">
        <v>0</v>
      </c>
      <c r="X120" s="14">
        <v>0</v>
      </c>
      <c r="Y120" s="14">
        <v>0</v>
      </c>
      <c r="Z120" s="14">
        <v>0</v>
      </c>
      <c r="AA120" s="14" t="s">
        <v>612</v>
      </c>
      <c r="AB120" s="16"/>
      <c r="AC120" s="16"/>
      <c r="AD120" s="16"/>
    </row>
    <row r="121" ht="21.75" customHeight="1" spans="1:30">
      <c r="A121" s="7">
        <f>121-5</f>
        <v>116</v>
      </c>
      <c r="B121" s="9" t="s">
        <v>6</v>
      </c>
      <c r="C121" s="10" t="s">
        <v>6</v>
      </c>
      <c r="D121" s="10" t="s">
        <v>6</v>
      </c>
      <c r="E121" s="10" t="s">
        <v>6</v>
      </c>
      <c r="F121" s="10" t="s">
        <v>6</v>
      </c>
      <c r="G121" s="9" t="s">
        <v>6</v>
      </c>
      <c r="H121" s="9" t="s">
        <v>355</v>
      </c>
      <c r="I121" s="9" t="s">
        <v>657</v>
      </c>
      <c r="J121" s="9"/>
      <c r="K121" s="9" t="s">
        <v>559</v>
      </c>
      <c r="L121" s="14">
        <v>15</v>
      </c>
      <c r="M121" s="14">
        <f t="shared" si="3"/>
        <v>15</v>
      </c>
      <c r="N121" s="14">
        <v>15</v>
      </c>
      <c r="O121" s="14">
        <v>0</v>
      </c>
      <c r="P121" s="14">
        <v>0</v>
      </c>
      <c r="Q121" s="14">
        <v>0</v>
      </c>
      <c r="R121" s="14">
        <v>0</v>
      </c>
      <c r="S121" s="14">
        <f t="shared" si="4"/>
        <v>0</v>
      </c>
      <c r="T121" s="14">
        <f t="shared" si="5"/>
        <v>0</v>
      </c>
      <c r="U121" s="14">
        <v>0</v>
      </c>
      <c r="V121" s="14">
        <v>0</v>
      </c>
      <c r="W121" s="14">
        <v>0</v>
      </c>
      <c r="X121" s="14">
        <v>0</v>
      </c>
      <c r="Y121" s="14">
        <v>0</v>
      </c>
      <c r="Z121" s="14">
        <v>0</v>
      </c>
      <c r="AA121" s="14" t="s">
        <v>612</v>
      </c>
      <c r="AB121" s="16"/>
      <c r="AC121" s="16"/>
      <c r="AD121" s="16"/>
    </row>
    <row r="122" ht="21.75" customHeight="1" spans="1:30">
      <c r="A122" s="7">
        <f>122-5</f>
        <v>117</v>
      </c>
      <c r="B122" s="9" t="s">
        <v>6</v>
      </c>
      <c r="C122" s="10" t="s">
        <v>6</v>
      </c>
      <c r="D122" s="10" t="s">
        <v>6</v>
      </c>
      <c r="E122" s="10" t="s">
        <v>6</v>
      </c>
      <c r="F122" s="10" t="s">
        <v>6</v>
      </c>
      <c r="G122" s="9" t="s">
        <v>6</v>
      </c>
      <c r="H122" s="9" t="s">
        <v>360</v>
      </c>
      <c r="I122" s="9" t="s">
        <v>663</v>
      </c>
      <c r="J122" s="9"/>
      <c r="K122" s="9" t="s">
        <v>559</v>
      </c>
      <c r="L122" s="14">
        <v>20</v>
      </c>
      <c r="M122" s="14">
        <f t="shared" si="3"/>
        <v>20</v>
      </c>
      <c r="N122" s="14">
        <v>20</v>
      </c>
      <c r="O122" s="14">
        <v>0</v>
      </c>
      <c r="P122" s="14">
        <v>0</v>
      </c>
      <c r="Q122" s="14">
        <v>0</v>
      </c>
      <c r="R122" s="14">
        <v>0</v>
      </c>
      <c r="S122" s="14">
        <f t="shared" si="4"/>
        <v>0</v>
      </c>
      <c r="T122" s="14">
        <f t="shared" si="5"/>
        <v>0</v>
      </c>
      <c r="U122" s="14">
        <v>0</v>
      </c>
      <c r="V122" s="14">
        <v>0</v>
      </c>
      <c r="W122" s="14">
        <v>0</v>
      </c>
      <c r="X122" s="14">
        <v>0</v>
      </c>
      <c r="Y122" s="14">
        <v>0</v>
      </c>
      <c r="Z122" s="14">
        <v>0</v>
      </c>
      <c r="AA122" s="14" t="s">
        <v>612</v>
      </c>
      <c r="AB122" s="16"/>
      <c r="AC122" s="16"/>
      <c r="AD122" s="16"/>
    </row>
    <row r="123" ht="21.75" customHeight="1" spans="1:30">
      <c r="A123" s="7">
        <f>123-5</f>
        <v>118</v>
      </c>
      <c r="B123" s="9" t="s">
        <v>6</v>
      </c>
      <c r="C123" s="10" t="s">
        <v>6</v>
      </c>
      <c r="D123" s="10" t="s">
        <v>6</v>
      </c>
      <c r="E123" s="10" t="s">
        <v>6</v>
      </c>
      <c r="F123" s="10" t="s">
        <v>6</v>
      </c>
      <c r="G123" s="9" t="s">
        <v>6</v>
      </c>
      <c r="H123" s="9" t="s">
        <v>363</v>
      </c>
      <c r="I123" s="9" t="s">
        <v>642</v>
      </c>
      <c r="J123" s="9"/>
      <c r="K123" s="9" t="s">
        <v>559</v>
      </c>
      <c r="L123" s="14">
        <v>20</v>
      </c>
      <c r="M123" s="14">
        <f t="shared" si="3"/>
        <v>20</v>
      </c>
      <c r="N123" s="14">
        <v>20</v>
      </c>
      <c r="O123" s="14">
        <v>0</v>
      </c>
      <c r="P123" s="14">
        <v>0</v>
      </c>
      <c r="Q123" s="14">
        <v>0</v>
      </c>
      <c r="R123" s="14">
        <v>0</v>
      </c>
      <c r="S123" s="14">
        <f t="shared" si="4"/>
        <v>0</v>
      </c>
      <c r="T123" s="14">
        <f t="shared" si="5"/>
        <v>0</v>
      </c>
      <c r="U123" s="14">
        <v>0</v>
      </c>
      <c r="V123" s="14">
        <v>0</v>
      </c>
      <c r="W123" s="14">
        <v>0</v>
      </c>
      <c r="X123" s="14">
        <v>0</v>
      </c>
      <c r="Y123" s="14">
        <v>0</v>
      </c>
      <c r="Z123" s="14">
        <v>0</v>
      </c>
      <c r="AA123" s="14" t="s">
        <v>612</v>
      </c>
      <c r="AB123" s="16"/>
      <c r="AC123" s="16"/>
      <c r="AD123" s="16"/>
    </row>
    <row r="124" ht="21.75" customHeight="1" spans="1:30">
      <c r="A124" s="7">
        <f>124-5</f>
        <v>119</v>
      </c>
      <c r="B124" s="9" t="s">
        <v>6</v>
      </c>
      <c r="C124" s="10" t="s">
        <v>6</v>
      </c>
      <c r="D124" s="10" t="s">
        <v>6</v>
      </c>
      <c r="E124" s="10" t="s">
        <v>6</v>
      </c>
      <c r="F124" s="10" t="s">
        <v>6</v>
      </c>
      <c r="G124" s="9" t="s">
        <v>6</v>
      </c>
      <c r="H124" s="9" t="s">
        <v>359</v>
      </c>
      <c r="I124" s="9" t="s">
        <v>620</v>
      </c>
      <c r="J124" s="9"/>
      <c r="K124" s="9" t="s">
        <v>559</v>
      </c>
      <c r="L124" s="14">
        <v>6</v>
      </c>
      <c r="M124" s="14">
        <f t="shared" si="3"/>
        <v>6</v>
      </c>
      <c r="N124" s="14">
        <v>6</v>
      </c>
      <c r="O124" s="14">
        <v>0</v>
      </c>
      <c r="P124" s="14">
        <v>0</v>
      </c>
      <c r="Q124" s="14">
        <v>0</v>
      </c>
      <c r="R124" s="14">
        <v>0</v>
      </c>
      <c r="S124" s="14">
        <f t="shared" si="4"/>
        <v>0</v>
      </c>
      <c r="T124" s="14">
        <f t="shared" si="5"/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 t="s">
        <v>612</v>
      </c>
      <c r="AB124" s="16"/>
      <c r="AC124" s="16"/>
      <c r="AD124" s="16"/>
    </row>
    <row r="125" ht="21.75" customHeight="1" spans="1:30">
      <c r="A125" s="7">
        <f>125-5</f>
        <v>120</v>
      </c>
      <c r="B125" s="9" t="s">
        <v>6</v>
      </c>
      <c r="C125" s="10" t="s">
        <v>6</v>
      </c>
      <c r="D125" s="10" t="s">
        <v>6</v>
      </c>
      <c r="E125" s="10" t="s">
        <v>6</v>
      </c>
      <c r="F125" s="10" t="s">
        <v>467</v>
      </c>
      <c r="G125" s="9" t="s">
        <v>6</v>
      </c>
      <c r="H125" s="9" t="s">
        <v>6</v>
      </c>
      <c r="I125" s="9" t="s">
        <v>6</v>
      </c>
      <c r="J125" s="9" t="s">
        <v>6</v>
      </c>
      <c r="K125" s="9" t="s">
        <v>6</v>
      </c>
      <c r="L125" s="14">
        <v>38</v>
      </c>
      <c r="M125" s="14">
        <f t="shared" si="3"/>
        <v>38</v>
      </c>
      <c r="N125" s="14">
        <v>38</v>
      </c>
      <c r="O125" s="14">
        <v>0</v>
      </c>
      <c r="P125" s="14">
        <v>0</v>
      </c>
      <c r="Q125" s="14">
        <v>0</v>
      </c>
      <c r="R125" s="14">
        <v>0</v>
      </c>
      <c r="S125" s="14">
        <f t="shared" si="4"/>
        <v>0</v>
      </c>
      <c r="T125" s="14">
        <f t="shared" si="5"/>
        <v>0</v>
      </c>
      <c r="U125" s="14">
        <v>0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 t="s">
        <v>6</v>
      </c>
      <c r="AB125" s="16"/>
      <c r="AC125" s="16"/>
      <c r="AD125" s="16"/>
    </row>
    <row r="126" ht="21.75" customHeight="1" spans="1:30">
      <c r="A126" s="7">
        <f>126-5</f>
        <v>121</v>
      </c>
      <c r="B126" s="9" t="s">
        <v>6</v>
      </c>
      <c r="C126" s="10" t="s">
        <v>6</v>
      </c>
      <c r="D126" s="10" t="s">
        <v>6</v>
      </c>
      <c r="E126" s="10" t="s">
        <v>6</v>
      </c>
      <c r="F126" s="10" t="s">
        <v>6</v>
      </c>
      <c r="G126" s="9" t="s">
        <v>475</v>
      </c>
      <c r="H126" s="9" t="s">
        <v>6</v>
      </c>
      <c r="I126" s="9" t="s">
        <v>6</v>
      </c>
      <c r="J126" s="9" t="s">
        <v>6</v>
      </c>
      <c r="K126" s="9" t="s">
        <v>6</v>
      </c>
      <c r="L126" s="14">
        <v>15.8</v>
      </c>
      <c r="M126" s="14">
        <f t="shared" si="3"/>
        <v>15.8</v>
      </c>
      <c r="N126" s="14">
        <v>15.8</v>
      </c>
      <c r="O126" s="14">
        <v>0</v>
      </c>
      <c r="P126" s="14">
        <v>0</v>
      </c>
      <c r="Q126" s="14">
        <v>0</v>
      </c>
      <c r="R126" s="14">
        <v>0</v>
      </c>
      <c r="S126" s="14">
        <f t="shared" si="4"/>
        <v>0</v>
      </c>
      <c r="T126" s="14">
        <f t="shared" si="5"/>
        <v>0</v>
      </c>
      <c r="U126" s="14">
        <v>0</v>
      </c>
      <c r="V126" s="14">
        <v>0</v>
      </c>
      <c r="W126" s="14">
        <v>0</v>
      </c>
      <c r="X126" s="14">
        <v>0</v>
      </c>
      <c r="Y126" s="14">
        <v>0</v>
      </c>
      <c r="Z126" s="14">
        <v>0</v>
      </c>
      <c r="AA126" s="14" t="s">
        <v>6</v>
      </c>
      <c r="AB126" s="16"/>
      <c r="AC126" s="16"/>
      <c r="AD126" s="16"/>
    </row>
    <row r="127" ht="21.75" customHeight="1" spans="1:30">
      <c r="A127" s="7">
        <f>127-5</f>
        <v>122</v>
      </c>
      <c r="B127" s="9" t="s">
        <v>6</v>
      </c>
      <c r="C127" s="10" t="s">
        <v>6</v>
      </c>
      <c r="D127" s="10" t="s">
        <v>6</v>
      </c>
      <c r="E127" s="10" t="s">
        <v>6</v>
      </c>
      <c r="F127" s="10" t="s">
        <v>6</v>
      </c>
      <c r="G127" s="9" t="s">
        <v>6</v>
      </c>
      <c r="H127" s="9" t="s">
        <v>476</v>
      </c>
      <c r="I127" s="9" t="s">
        <v>664</v>
      </c>
      <c r="J127" s="9"/>
      <c r="K127" s="9" t="s">
        <v>559</v>
      </c>
      <c r="L127" s="14">
        <v>5</v>
      </c>
      <c r="M127" s="14">
        <f t="shared" si="3"/>
        <v>5</v>
      </c>
      <c r="N127" s="14">
        <v>5</v>
      </c>
      <c r="O127" s="14">
        <v>0</v>
      </c>
      <c r="P127" s="14">
        <v>0</v>
      </c>
      <c r="Q127" s="14">
        <v>0</v>
      </c>
      <c r="R127" s="14">
        <v>0</v>
      </c>
      <c r="S127" s="14">
        <f t="shared" si="4"/>
        <v>0</v>
      </c>
      <c r="T127" s="14">
        <f t="shared" si="5"/>
        <v>0</v>
      </c>
      <c r="U127" s="14">
        <v>0</v>
      </c>
      <c r="V127" s="14">
        <v>0</v>
      </c>
      <c r="W127" s="14">
        <v>0</v>
      </c>
      <c r="X127" s="14">
        <v>0</v>
      </c>
      <c r="Y127" s="14">
        <v>0</v>
      </c>
      <c r="Z127" s="14">
        <v>0</v>
      </c>
      <c r="AA127" s="14" t="s">
        <v>612</v>
      </c>
      <c r="AB127" s="16"/>
      <c r="AC127" s="16"/>
      <c r="AD127" s="16"/>
    </row>
    <row r="128" ht="21.75" customHeight="1" spans="1:30">
      <c r="A128" s="7">
        <f>128-5</f>
        <v>123</v>
      </c>
      <c r="B128" s="9" t="s">
        <v>6</v>
      </c>
      <c r="C128" s="10" t="s">
        <v>6</v>
      </c>
      <c r="D128" s="10" t="s">
        <v>6</v>
      </c>
      <c r="E128" s="10" t="s">
        <v>6</v>
      </c>
      <c r="F128" s="10" t="s">
        <v>6</v>
      </c>
      <c r="G128" s="9" t="s">
        <v>6</v>
      </c>
      <c r="H128" s="9" t="s">
        <v>477</v>
      </c>
      <c r="I128" s="9" t="s">
        <v>620</v>
      </c>
      <c r="J128" s="9"/>
      <c r="K128" s="9" t="s">
        <v>559</v>
      </c>
      <c r="L128" s="14">
        <v>10.8</v>
      </c>
      <c r="M128" s="14">
        <f t="shared" si="3"/>
        <v>10.8</v>
      </c>
      <c r="N128" s="14">
        <v>10.8</v>
      </c>
      <c r="O128" s="14">
        <v>0</v>
      </c>
      <c r="P128" s="14">
        <v>0</v>
      </c>
      <c r="Q128" s="14">
        <v>0</v>
      </c>
      <c r="R128" s="14">
        <v>0</v>
      </c>
      <c r="S128" s="14">
        <f t="shared" si="4"/>
        <v>0</v>
      </c>
      <c r="T128" s="14">
        <f t="shared" si="5"/>
        <v>0</v>
      </c>
      <c r="U128" s="14">
        <v>0</v>
      </c>
      <c r="V128" s="14">
        <v>0</v>
      </c>
      <c r="W128" s="14">
        <v>0</v>
      </c>
      <c r="X128" s="14">
        <v>0</v>
      </c>
      <c r="Y128" s="14">
        <v>0</v>
      </c>
      <c r="Z128" s="14">
        <v>0</v>
      </c>
      <c r="AA128" s="14" t="s">
        <v>612</v>
      </c>
      <c r="AB128" s="16"/>
      <c r="AC128" s="16"/>
      <c r="AD128" s="16"/>
    </row>
    <row r="129" ht="21.75" customHeight="1" spans="1:30">
      <c r="A129" s="7">
        <f>129-5</f>
        <v>124</v>
      </c>
      <c r="B129" s="9" t="s">
        <v>6</v>
      </c>
      <c r="C129" s="10" t="s">
        <v>6</v>
      </c>
      <c r="D129" s="10" t="s">
        <v>6</v>
      </c>
      <c r="E129" s="10" t="s">
        <v>6</v>
      </c>
      <c r="F129" s="10" t="s">
        <v>6</v>
      </c>
      <c r="G129" s="9" t="s">
        <v>471</v>
      </c>
      <c r="H129" s="9" t="s">
        <v>6</v>
      </c>
      <c r="I129" s="9" t="s">
        <v>6</v>
      </c>
      <c r="J129" s="9" t="s">
        <v>6</v>
      </c>
      <c r="K129" s="9" t="s">
        <v>6</v>
      </c>
      <c r="L129" s="14">
        <v>22.2</v>
      </c>
      <c r="M129" s="14">
        <f t="shared" si="3"/>
        <v>22.2</v>
      </c>
      <c r="N129" s="14">
        <v>22.2</v>
      </c>
      <c r="O129" s="14">
        <v>0</v>
      </c>
      <c r="P129" s="14">
        <v>0</v>
      </c>
      <c r="Q129" s="14">
        <v>0</v>
      </c>
      <c r="R129" s="14">
        <v>0</v>
      </c>
      <c r="S129" s="14">
        <f t="shared" si="4"/>
        <v>0</v>
      </c>
      <c r="T129" s="14">
        <f t="shared" si="5"/>
        <v>0</v>
      </c>
      <c r="U129" s="14">
        <v>0</v>
      </c>
      <c r="V129" s="14">
        <v>0</v>
      </c>
      <c r="W129" s="14">
        <v>0</v>
      </c>
      <c r="X129" s="14">
        <v>0</v>
      </c>
      <c r="Y129" s="14">
        <v>0</v>
      </c>
      <c r="Z129" s="14">
        <v>0</v>
      </c>
      <c r="AA129" s="14" t="s">
        <v>6</v>
      </c>
      <c r="AB129" s="16"/>
      <c r="AC129" s="16"/>
      <c r="AD129" s="16"/>
    </row>
    <row r="130" ht="21.75" customHeight="1" spans="1:30">
      <c r="A130" s="7">
        <f>130-5</f>
        <v>125</v>
      </c>
      <c r="B130" s="9" t="s">
        <v>6</v>
      </c>
      <c r="C130" s="10" t="s">
        <v>6</v>
      </c>
      <c r="D130" s="10" t="s">
        <v>6</v>
      </c>
      <c r="E130" s="10" t="s">
        <v>6</v>
      </c>
      <c r="F130" s="10" t="s">
        <v>6</v>
      </c>
      <c r="G130" s="9" t="s">
        <v>6</v>
      </c>
      <c r="H130" s="9" t="s">
        <v>472</v>
      </c>
      <c r="I130" s="9" t="s">
        <v>665</v>
      </c>
      <c r="J130" s="9"/>
      <c r="K130" s="9" t="s">
        <v>559</v>
      </c>
      <c r="L130" s="14">
        <v>15.2</v>
      </c>
      <c r="M130" s="14">
        <f t="shared" si="3"/>
        <v>15.2</v>
      </c>
      <c r="N130" s="14">
        <v>15.2</v>
      </c>
      <c r="O130" s="14">
        <v>0</v>
      </c>
      <c r="P130" s="14">
        <v>0</v>
      </c>
      <c r="Q130" s="14">
        <v>0</v>
      </c>
      <c r="R130" s="14">
        <v>0</v>
      </c>
      <c r="S130" s="14">
        <f t="shared" si="4"/>
        <v>0</v>
      </c>
      <c r="T130" s="14">
        <f t="shared" si="5"/>
        <v>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4">
        <v>0</v>
      </c>
      <c r="AA130" s="14" t="s">
        <v>612</v>
      </c>
      <c r="AB130" s="16"/>
      <c r="AC130" s="16"/>
      <c r="AD130" s="16"/>
    </row>
    <row r="131" ht="21.75" customHeight="1" spans="1:30">
      <c r="A131" s="7">
        <f>131-5</f>
        <v>126</v>
      </c>
      <c r="B131" s="9" t="s">
        <v>6</v>
      </c>
      <c r="C131" s="10" t="s">
        <v>6</v>
      </c>
      <c r="D131" s="10" t="s">
        <v>6</v>
      </c>
      <c r="E131" s="10" t="s">
        <v>6</v>
      </c>
      <c r="F131" s="10" t="s">
        <v>6</v>
      </c>
      <c r="G131" s="9" t="s">
        <v>6</v>
      </c>
      <c r="H131" s="9" t="s">
        <v>474</v>
      </c>
      <c r="I131" s="9" t="s">
        <v>620</v>
      </c>
      <c r="J131" s="9"/>
      <c r="K131" s="9" t="s">
        <v>559</v>
      </c>
      <c r="L131" s="14">
        <v>7</v>
      </c>
      <c r="M131" s="14">
        <f t="shared" si="3"/>
        <v>7</v>
      </c>
      <c r="N131" s="14">
        <v>7</v>
      </c>
      <c r="O131" s="14">
        <v>0</v>
      </c>
      <c r="P131" s="14">
        <v>0</v>
      </c>
      <c r="Q131" s="14">
        <v>0</v>
      </c>
      <c r="R131" s="14">
        <v>0</v>
      </c>
      <c r="S131" s="14">
        <f t="shared" si="4"/>
        <v>0</v>
      </c>
      <c r="T131" s="14">
        <f t="shared" si="5"/>
        <v>0</v>
      </c>
      <c r="U131" s="14">
        <v>0</v>
      </c>
      <c r="V131" s="14">
        <v>0</v>
      </c>
      <c r="W131" s="14">
        <v>0</v>
      </c>
      <c r="X131" s="14">
        <v>0</v>
      </c>
      <c r="Y131" s="14">
        <v>0</v>
      </c>
      <c r="Z131" s="14">
        <v>0</v>
      </c>
      <c r="AA131" s="14" t="s">
        <v>612</v>
      </c>
      <c r="AB131" s="16"/>
      <c r="AC131" s="16"/>
      <c r="AD131" s="16"/>
    </row>
    <row r="132" ht="21.75" customHeight="1" spans="1:30">
      <c r="A132" s="7">
        <f>132-5</f>
        <v>127</v>
      </c>
      <c r="B132" s="9" t="s">
        <v>6</v>
      </c>
      <c r="C132" s="10" t="s">
        <v>6</v>
      </c>
      <c r="D132" s="10" t="s">
        <v>6</v>
      </c>
      <c r="E132" s="10" t="s">
        <v>6</v>
      </c>
      <c r="F132" s="10" t="s">
        <v>376</v>
      </c>
      <c r="G132" s="9" t="s">
        <v>6</v>
      </c>
      <c r="H132" s="9" t="s">
        <v>6</v>
      </c>
      <c r="I132" s="9" t="s">
        <v>6</v>
      </c>
      <c r="J132" s="9" t="s">
        <v>6</v>
      </c>
      <c r="K132" s="9" t="s">
        <v>6</v>
      </c>
      <c r="L132" s="14">
        <v>1099.76</v>
      </c>
      <c r="M132" s="14">
        <f t="shared" si="3"/>
        <v>1099.76</v>
      </c>
      <c r="N132" s="14">
        <v>1099.76</v>
      </c>
      <c r="O132" s="14">
        <v>0</v>
      </c>
      <c r="P132" s="14">
        <v>0</v>
      </c>
      <c r="Q132" s="14">
        <v>0</v>
      </c>
      <c r="R132" s="14">
        <v>0</v>
      </c>
      <c r="S132" s="14">
        <f t="shared" si="4"/>
        <v>0</v>
      </c>
      <c r="T132" s="14">
        <f t="shared" si="5"/>
        <v>0</v>
      </c>
      <c r="U132" s="14">
        <v>0</v>
      </c>
      <c r="V132" s="14">
        <v>0</v>
      </c>
      <c r="W132" s="14">
        <v>0</v>
      </c>
      <c r="X132" s="14">
        <v>0</v>
      </c>
      <c r="Y132" s="14">
        <v>0</v>
      </c>
      <c r="Z132" s="14">
        <v>0</v>
      </c>
      <c r="AA132" s="14" t="s">
        <v>6</v>
      </c>
      <c r="AB132" s="16"/>
      <c r="AC132" s="16"/>
      <c r="AD132" s="16"/>
    </row>
    <row r="133" ht="21.75" customHeight="1" spans="1:30">
      <c r="A133" s="7">
        <f>133-5</f>
        <v>128</v>
      </c>
      <c r="B133" s="9" t="s">
        <v>6</v>
      </c>
      <c r="C133" s="10" t="s">
        <v>6</v>
      </c>
      <c r="D133" s="10" t="s">
        <v>6</v>
      </c>
      <c r="E133" s="10" t="s">
        <v>6</v>
      </c>
      <c r="F133" s="10" t="s">
        <v>6</v>
      </c>
      <c r="G133" s="9" t="s">
        <v>377</v>
      </c>
      <c r="H133" s="9" t="s">
        <v>6</v>
      </c>
      <c r="I133" s="9" t="s">
        <v>6</v>
      </c>
      <c r="J133" s="9" t="s">
        <v>6</v>
      </c>
      <c r="K133" s="9" t="s">
        <v>6</v>
      </c>
      <c r="L133" s="14">
        <v>1099.76</v>
      </c>
      <c r="M133" s="14">
        <f t="shared" si="3"/>
        <v>1099.76</v>
      </c>
      <c r="N133" s="14">
        <v>1099.76</v>
      </c>
      <c r="O133" s="14">
        <v>0</v>
      </c>
      <c r="P133" s="14">
        <v>0</v>
      </c>
      <c r="Q133" s="14">
        <v>0</v>
      </c>
      <c r="R133" s="14">
        <v>0</v>
      </c>
      <c r="S133" s="14">
        <f t="shared" si="4"/>
        <v>0</v>
      </c>
      <c r="T133" s="14">
        <f t="shared" si="5"/>
        <v>0</v>
      </c>
      <c r="U133" s="14">
        <v>0</v>
      </c>
      <c r="V133" s="14">
        <v>0</v>
      </c>
      <c r="W133" s="14">
        <v>0</v>
      </c>
      <c r="X133" s="14">
        <v>0</v>
      </c>
      <c r="Y133" s="14">
        <v>0</v>
      </c>
      <c r="Z133" s="14">
        <v>0</v>
      </c>
      <c r="AA133" s="14" t="s">
        <v>6</v>
      </c>
      <c r="AB133" s="16"/>
      <c r="AC133" s="16"/>
      <c r="AD133" s="16"/>
    </row>
    <row r="134" ht="21.75" customHeight="1" spans="1:30">
      <c r="A134" s="7">
        <f>134-5</f>
        <v>129</v>
      </c>
      <c r="B134" s="9" t="s">
        <v>6</v>
      </c>
      <c r="C134" s="10" t="s">
        <v>6</v>
      </c>
      <c r="D134" s="10" t="s">
        <v>6</v>
      </c>
      <c r="E134" s="10" t="s">
        <v>6</v>
      </c>
      <c r="F134" s="10" t="s">
        <v>6</v>
      </c>
      <c r="G134" s="9" t="s">
        <v>6</v>
      </c>
      <c r="H134" s="9" t="s">
        <v>378</v>
      </c>
      <c r="I134" s="9" t="s">
        <v>666</v>
      </c>
      <c r="J134" s="9" t="s">
        <v>667</v>
      </c>
      <c r="K134" s="9" t="s">
        <v>559</v>
      </c>
      <c r="L134" s="14">
        <v>202</v>
      </c>
      <c r="M134" s="14">
        <f t="shared" ref="M134:M184" si="6">N134+O134+P134</f>
        <v>202</v>
      </c>
      <c r="N134" s="14">
        <v>202</v>
      </c>
      <c r="O134" s="14">
        <v>0</v>
      </c>
      <c r="P134" s="14">
        <v>0</v>
      </c>
      <c r="Q134" s="14">
        <v>0</v>
      </c>
      <c r="R134" s="14">
        <v>0</v>
      </c>
      <c r="S134" s="14">
        <f t="shared" ref="S134:S184" si="7">T134</f>
        <v>0</v>
      </c>
      <c r="T134" s="14">
        <f t="shared" ref="T134:T184" si="8">U134+V134+W134+X134+Y134</f>
        <v>0</v>
      </c>
      <c r="U134" s="14">
        <v>0</v>
      </c>
      <c r="V134" s="14">
        <v>0</v>
      </c>
      <c r="W134" s="14">
        <v>0</v>
      </c>
      <c r="X134" s="14">
        <v>0</v>
      </c>
      <c r="Y134" s="14">
        <v>0</v>
      </c>
      <c r="Z134" s="14">
        <v>0</v>
      </c>
      <c r="AA134" s="14" t="s">
        <v>612</v>
      </c>
      <c r="AB134" s="16"/>
      <c r="AC134" s="16"/>
      <c r="AD134" s="16"/>
    </row>
    <row r="135" ht="21.75" customHeight="1" spans="1:30">
      <c r="A135" s="7">
        <f>135-5</f>
        <v>130</v>
      </c>
      <c r="B135" s="9" t="s">
        <v>6</v>
      </c>
      <c r="C135" s="10" t="s">
        <v>6</v>
      </c>
      <c r="D135" s="10" t="s">
        <v>6</v>
      </c>
      <c r="E135" s="10" t="s">
        <v>6</v>
      </c>
      <c r="F135" s="10" t="s">
        <v>6</v>
      </c>
      <c r="G135" s="9" t="s">
        <v>6</v>
      </c>
      <c r="H135" s="9" t="s">
        <v>384</v>
      </c>
      <c r="I135" s="9" t="s">
        <v>666</v>
      </c>
      <c r="J135" s="9"/>
      <c r="K135" s="9" t="s">
        <v>559</v>
      </c>
      <c r="L135" s="14">
        <v>77.25</v>
      </c>
      <c r="M135" s="14">
        <f t="shared" si="6"/>
        <v>77.25</v>
      </c>
      <c r="N135" s="14">
        <v>77.25</v>
      </c>
      <c r="O135" s="14">
        <v>0</v>
      </c>
      <c r="P135" s="14">
        <v>0</v>
      </c>
      <c r="Q135" s="14">
        <v>0</v>
      </c>
      <c r="R135" s="14">
        <v>0</v>
      </c>
      <c r="S135" s="14">
        <f t="shared" si="7"/>
        <v>0</v>
      </c>
      <c r="T135" s="14">
        <f t="shared" si="8"/>
        <v>0</v>
      </c>
      <c r="U135" s="14">
        <v>0</v>
      </c>
      <c r="V135" s="14">
        <v>0</v>
      </c>
      <c r="W135" s="14">
        <v>0</v>
      </c>
      <c r="X135" s="14">
        <v>0</v>
      </c>
      <c r="Y135" s="14">
        <v>0</v>
      </c>
      <c r="Z135" s="14">
        <v>0</v>
      </c>
      <c r="AA135" s="14" t="s">
        <v>612</v>
      </c>
      <c r="AB135" s="16"/>
      <c r="AC135" s="16"/>
      <c r="AD135" s="16"/>
    </row>
    <row r="136" ht="21.75" customHeight="1" spans="1:30">
      <c r="A136" s="7">
        <f>136-5</f>
        <v>131</v>
      </c>
      <c r="B136" s="9" t="s">
        <v>6</v>
      </c>
      <c r="C136" s="10" t="s">
        <v>6</v>
      </c>
      <c r="D136" s="10" t="s">
        <v>6</v>
      </c>
      <c r="E136" s="10" t="s">
        <v>6</v>
      </c>
      <c r="F136" s="10" t="s">
        <v>6</v>
      </c>
      <c r="G136" s="9" t="s">
        <v>6</v>
      </c>
      <c r="H136" s="9" t="s">
        <v>380</v>
      </c>
      <c r="I136" s="9" t="s">
        <v>666</v>
      </c>
      <c r="J136" s="9"/>
      <c r="K136" s="9" t="s">
        <v>559</v>
      </c>
      <c r="L136" s="14">
        <v>331.2</v>
      </c>
      <c r="M136" s="14">
        <f t="shared" si="6"/>
        <v>331.2</v>
      </c>
      <c r="N136" s="14">
        <v>331.2</v>
      </c>
      <c r="O136" s="14">
        <v>0</v>
      </c>
      <c r="P136" s="14">
        <v>0</v>
      </c>
      <c r="Q136" s="14">
        <v>0</v>
      </c>
      <c r="R136" s="14">
        <v>0</v>
      </c>
      <c r="S136" s="14">
        <f t="shared" si="7"/>
        <v>0</v>
      </c>
      <c r="T136" s="14">
        <f t="shared" si="8"/>
        <v>0</v>
      </c>
      <c r="U136" s="14">
        <v>0</v>
      </c>
      <c r="V136" s="14">
        <v>0</v>
      </c>
      <c r="W136" s="14">
        <v>0</v>
      </c>
      <c r="X136" s="14">
        <v>0</v>
      </c>
      <c r="Y136" s="14">
        <v>0</v>
      </c>
      <c r="Z136" s="14">
        <v>0</v>
      </c>
      <c r="AA136" s="14" t="s">
        <v>612</v>
      </c>
      <c r="AB136" s="16"/>
      <c r="AC136" s="16"/>
      <c r="AD136" s="16"/>
    </row>
    <row r="137" ht="21.75" customHeight="1" spans="1:30">
      <c r="A137" s="7">
        <f>137-5</f>
        <v>132</v>
      </c>
      <c r="B137" s="9" t="s">
        <v>6</v>
      </c>
      <c r="C137" s="10" t="s">
        <v>6</v>
      </c>
      <c r="D137" s="10" t="s">
        <v>6</v>
      </c>
      <c r="E137" s="10" t="s">
        <v>6</v>
      </c>
      <c r="F137" s="10" t="s">
        <v>6</v>
      </c>
      <c r="G137" s="9" t="s">
        <v>6</v>
      </c>
      <c r="H137" s="9" t="s">
        <v>382</v>
      </c>
      <c r="I137" s="9" t="s">
        <v>666</v>
      </c>
      <c r="J137" s="9"/>
      <c r="K137" s="9" t="s">
        <v>559</v>
      </c>
      <c r="L137" s="14">
        <v>302.11</v>
      </c>
      <c r="M137" s="14">
        <f t="shared" si="6"/>
        <v>302.11</v>
      </c>
      <c r="N137" s="14">
        <v>302.11</v>
      </c>
      <c r="O137" s="14">
        <v>0</v>
      </c>
      <c r="P137" s="14">
        <v>0</v>
      </c>
      <c r="Q137" s="14">
        <v>0</v>
      </c>
      <c r="R137" s="14">
        <v>0</v>
      </c>
      <c r="S137" s="14">
        <f t="shared" si="7"/>
        <v>0</v>
      </c>
      <c r="T137" s="14">
        <f t="shared" si="8"/>
        <v>0</v>
      </c>
      <c r="U137" s="14">
        <v>0</v>
      </c>
      <c r="V137" s="14">
        <v>0</v>
      </c>
      <c r="W137" s="14">
        <v>0</v>
      </c>
      <c r="X137" s="14">
        <v>0</v>
      </c>
      <c r="Y137" s="14">
        <v>0</v>
      </c>
      <c r="Z137" s="14">
        <v>0</v>
      </c>
      <c r="AA137" s="14" t="s">
        <v>612</v>
      </c>
      <c r="AB137" s="16"/>
      <c r="AC137" s="16"/>
      <c r="AD137" s="16"/>
    </row>
    <row r="138" ht="21.75" customHeight="1" spans="1:30">
      <c r="A138" s="7">
        <f>138-5</f>
        <v>133</v>
      </c>
      <c r="B138" s="9" t="s">
        <v>6</v>
      </c>
      <c r="C138" s="10" t="s">
        <v>6</v>
      </c>
      <c r="D138" s="10" t="s">
        <v>6</v>
      </c>
      <c r="E138" s="10" t="s">
        <v>6</v>
      </c>
      <c r="F138" s="10" t="s">
        <v>6</v>
      </c>
      <c r="G138" s="9" t="s">
        <v>6</v>
      </c>
      <c r="H138" s="9" t="s">
        <v>379</v>
      </c>
      <c r="I138" s="9" t="s">
        <v>666</v>
      </c>
      <c r="J138" s="9"/>
      <c r="K138" s="9" t="s">
        <v>559</v>
      </c>
      <c r="L138" s="14">
        <v>187.2</v>
      </c>
      <c r="M138" s="14">
        <f t="shared" si="6"/>
        <v>187.2</v>
      </c>
      <c r="N138" s="14">
        <v>187.2</v>
      </c>
      <c r="O138" s="14">
        <v>0</v>
      </c>
      <c r="P138" s="14">
        <v>0</v>
      </c>
      <c r="Q138" s="14">
        <v>0</v>
      </c>
      <c r="R138" s="14">
        <v>0</v>
      </c>
      <c r="S138" s="14">
        <f t="shared" si="7"/>
        <v>0</v>
      </c>
      <c r="T138" s="14">
        <f t="shared" si="8"/>
        <v>0</v>
      </c>
      <c r="U138" s="14">
        <v>0</v>
      </c>
      <c r="V138" s="14">
        <v>0</v>
      </c>
      <c r="W138" s="14">
        <v>0</v>
      </c>
      <c r="X138" s="14">
        <v>0</v>
      </c>
      <c r="Y138" s="14">
        <v>0</v>
      </c>
      <c r="Z138" s="14">
        <v>0</v>
      </c>
      <c r="AA138" s="14" t="s">
        <v>612</v>
      </c>
      <c r="AB138" s="16"/>
      <c r="AC138" s="16"/>
      <c r="AD138" s="16"/>
    </row>
    <row r="139" ht="21.75" customHeight="1" spans="1:30">
      <c r="A139" s="7">
        <f>139-5</f>
        <v>134</v>
      </c>
      <c r="B139" s="9" t="s">
        <v>6</v>
      </c>
      <c r="C139" s="10" t="s">
        <v>6</v>
      </c>
      <c r="D139" s="10" t="s">
        <v>6</v>
      </c>
      <c r="E139" s="10" t="s">
        <v>6</v>
      </c>
      <c r="F139" s="10" t="s">
        <v>387</v>
      </c>
      <c r="G139" s="9" t="s">
        <v>6</v>
      </c>
      <c r="H139" s="9" t="s">
        <v>6</v>
      </c>
      <c r="I139" s="9" t="s">
        <v>6</v>
      </c>
      <c r="J139" s="9" t="s">
        <v>6</v>
      </c>
      <c r="K139" s="9" t="s">
        <v>6</v>
      </c>
      <c r="L139" s="14">
        <v>77.5</v>
      </c>
      <c r="M139" s="14">
        <f t="shared" si="6"/>
        <v>77.5</v>
      </c>
      <c r="N139" s="14">
        <v>77.5</v>
      </c>
      <c r="O139" s="14">
        <v>0</v>
      </c>
      <c r="P139" s="14">
        <v>0</v>
      </c>
      <c r="Q139" s="14">
        <v>0</v>
      </c>
      <c r="R139" s="14">
        <v>0</v>
      </c>
      <c r="S139" s="14">
        <f t="shared" si="7"/>
        <v>0</v>
      </c>
      <c r="T139" s="14">
        <f t="shared" si="8"/>
        <v>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14">
        <v>0</v>
      </c>
      <c r="AA139" s="14" t="s">
        <v>6</v>
      </c>
      <c r="AB139" s="16"/>
      <c r="AC139" s="16"/>
      <c r="AD139" s="16"/>
    </row>
    <row r="140" ht="21.75" customHeight="1" spans="1:30">
      <c r="A140" s="7">
        <f>140-5</f>
        <v>135</v>
      </c>
      <c r="B140" s="9" t="s">
        <v>6</v>
      </c>
      <c r="C140" s="10" t="s">
        <v>6</v>
      </c>
      <c r="D140" s="10" t="s">
        <v>6</v>
      </c>
      <c r="E140" s="10" t="s">
        <v>6</v>
      </c>
      <c r="F140" s="10" t="s">
        <v>6</v>
      </c>
      <c r="G140" s="9" t="s">
        <v>394</v>
      </c>
      <c r="H140" s="9" t="s">
        <v>6</v>
      </c>
      <c r="I140" s="9" t="s">
        <v>6</v>
      </c>
      <c r="J140" s="9" t="s">
        <v>6</v>
      </c>
      <c r="K140" s="9" t="s">
        <v>6</v>
      </c>
      <c r="L140" s="14">
        <v>77.5</v>
      </c>
      <c r="M140" s="14">
        <f t="shared" si="6"/>
        <v>77.5</v>
      </c>
      <c r="N140" s="14">
        <v>77.5</v>
      </c>
      <c r="O140" s="14">
        <v>0</v>
      </c>
      <c r="P140" s="14">
        <v>0</v>
      </c>
      <c r="Q140" s="14">
        <v>0</v>
      </c>
      <c r="R140" s="14">
        <v>0</v>
      </c>
      <c r="S140" s="14">
        <f t="shared" si="7"/>
        <v>0</v>
      </c>
      <c r="T140" s="14">
        <f t="shared" si="8"/>
        <v>0</v>
      </c>
      <c r="U140" s="14">
        <v>0</v>
      </c>
      <c r="V140" s="14">
        <v>0</v>
      </c>
      <c r="W140" s="14">
        <v>0</v>
      </c>
      <c r="X140" s="14">
        <v>0</v>
      </c>
      <c r="Y140" s="14">
        <v>0</v>
      </c>
      <c r="Z140" s="14">
        <v>0</v>
      </c>
      <c r="AA140" s="14" t="s">
        <v>6</v>
      </c>
      <c r="AB140" s="16"/>
      <c r="AC140" s="16"/>
      <c r="AD140" s="16"/>
    </row>
    <row r="141" ht="21.75" customHeight="1" spans="1:30">
      <c r="A141" s="7">
        <f>141-5</f>
        <v>136</v>
      </c>
      <c r="B141" s="9" t="s">
        <v>6</v>
      </c>
      <c r="C141" s="10" t="s">
        <v>6</v>
      </c>
      <c r="D141" s="10" t="s">
        <v>6</v>
      </c>
      <c r="E141" s="10" t="s">
        <v>6</v>
      </c>
      <c r="F141" s="10" t="s">
        <v>6</v>
      </c>
      <c r="G141" s="9" t="s">
        <v>6</v>
      </c>
      <c r="H141" s="9" t="s">
        <v>398</v>
      </c>
      <c r="I141" s="9" t="s">
        <v>668</v>
      </c>
      <c r="J141" s="9"/>
      <c r="K141" s="9" t="s">
        <v>559</v>
      </c>
      <c r="L141" s="14">
        <v>30</v>
      </c>
      <c r="M141" s="14">
        <f t="shared" si="6"/>
        <v>30</v>
      </c>
      <c r="N141" s="14">
        <v>30</v>
      </c>
      <c r="O141" s="14">
        <v>0</v>
      </c>
      <c r="P141" s="14">
        <v>0</v>
      </c>
      <c r="Q141" s="14">
        <v>0</v>
      </c>
      <c r="R141" s="14">
        <v>0</v>
      </c>
      <c r="S141" s="14">
        <f t="shared" si="7"/>
        <v>0</v>
      </c>
      <c r="T141" s="14">
        <f t="shared" si="8"/>
        <v>0</v>
      </c>
      <c r="U141" s="14">
        <v>0</v>
      </c>
      <c r="V141" s="14">
        <v>0</v>
      </c>
      <c r="W141" s="14">
        <v>0</v>
      </c>
      <c r="X141" s="14">
        <v>0</v>
      </c>
      <c r="Y141" s="14">
        <v>0</v>
      </c>
      <c r="Z141" s="14">
        <v>0</v>
      </c>
      <c r="AA141" s="14" t="s">
        <v>612</v>
      </c>
      <c r="AB141" s="16"/>
      <c r="AC141" s="16"/>
      <c r="AD141" s="16"/>
    </row>
    <row r="142" ht="21.75" customHeight="1" spans="1:30">
      <c r="A142" s="7">
        <f>142-5</f>
        <v>137</v>
      </c>
      <c r="B142" s="9" t="s">
        <v>6</v>
      </c>
      <c r="C142" s="10" t="s">
        <v>6</v>
      </c>
      <c r="D142" s="10" t="s">
        <v>6</v>
      </c>
      <c r="E142" s="10" t="s">
        <v>6</v>
      </c>
      <c r="F142" s="10" t="s">
        <v>6</v>
      </c>
      <c r="G142" s="9" t="s">
        <v>6</v>
      </c>
      <c r="H142" s="9" t="s">
        <v>397</v>
      </c>
      <c r="I142" s="9" t="s">
        <v>669</v>
      </c>
      <c r="J142" s="9"/>
      <c r="K142" s="9" t="s">
        <v>559</v>
      </c>
      <c r="L142" s="14">
        <v>40</v>
      </c>
      <c r="M142" s="14">
        <f t="shared" si="6"/>
        <v>40</v>
      </c>
      <c r="N142" s="14">
        <v>40</v>
      </c>
      <c r="O142" s="14">
        <v>0</v>
      </c>
      <c r="P142" s="14">
        <v>0</v>
      </c>
      <c r="Q142" s="14">
        <v>0</v>
      </c>
      <c r="R142" s="14">
        <v>0</v>
      </c>
      <c r="S142" s="14">
        <f t="shared" si="7"/>
        <v>0</v>
      </c>
      <c r="T142" s="14">
        <f t="shared" si="8"/>
        <v>0</v>
      </c>
      <c r="U142" s="14">
        <v>0</v>
      </c>
      <c r="V142" s="14">
        <v>0</v>
      </c>
      <c r="W142" s="14">
        <v>0</v>
      </c>
      <c r="X142" s="14">
        <v>0</v>
      </c>
      <c r="Y142" s="14">
        <v>0</v>
      </c>
      <c r="Z142" s="14">
        <v>0</v>
      </c>
      <c r="AA142" s="14" t="s">
        <v>612</v>
      </c>
      <c r="AB142" s="16"/>
      <c r="AC142" s="16"/>
      <c r="AD142" s="16"/>
    </row>
    <row r="143" ht="21.75" customHeight="1" spans="1:30">
      <c r="A143" s="7">
        <f>143-5</f>
        <v>138</v>
      </c>
      <c r="B143" s="9" t="s">
        <v>6</v>
      </c>
      <c r="C143" s="10" t="s">
        <v>6</v>
      </c>
      <c r="D143" s="10" t="s">
        <v>6</v>
      </c>
      <c r="E143" s="10" t="s">
        <v>6</v>
      </c>
      <c r="F143" s="10" t="s">
        <v>6</v>
      </c>
      <c r="G143" s="9" t="s">
        <v>6</v>
      </c>
      <c r="H143" s="9" t="s">
        <v>399</v>
      </c>
      <c r="I143" s="9" t="s">
        <v>620</v>
      </c>
      <c r="J143" s="9"/>
      <c r="K143" s="9" t="s">
        <v>559</v>
      </c>
      <c r="L143" s="14">
        <v>7.5</v>
      </c>
      <c r="M143" s="14">
        <f t="shared" si="6"/>
        <v>7.5</v>
      </c>
      <c r="N143" s="14">
        <v>7.5</v>
      </c>
      <c r="O143" s="14">
        <v>0</v>
      </c>
      <c r="P143" s="14">
        <v>0</v>
      </c>
      <c r="Q143" s="14">
        <v>0</v>
      </c>
      <c r="R143" s="14">
        <v>0</v>
      </c>
      <c r="S143" s="14">
        <f t="shared" si="7"/>
        <v>0</v>
      </c>
      <c r="T143" s="14">
        <f t="shared" si="8"/>
        <v>0</v>
      </c>
      <c r="U143" s="14">
        <v>0</v>
      </c>
      <c r="V143" s="14">
        <v>0</v>
      </c>
      <c r="W143" s="14">
        <v>0</v>
      </c>
      <c r="X143" s="14">
        <v>0</v>
      </c>
      <c r="Y143" s="14">
        <v>0</v>
      </c>
      <c r="Z143" s="14">
        <v>0</v>
      </c>
      <c r="AA143" s="14" t="s">
        <v>612</v>
      </c>
      <c r="AB143" s="16"/>
      <c r="AC143" s="16"/>
      <c r="AD143" s="16"/>
    </row>
    <row r="144" ht="21.75" customHeight="1" spans="1:30">
      <c r="A144" s="7">
        <f>144-5</f>
        <v>139</v>
      </c>
      <c r="B144" s="9" t="s">
        <v>6</v>
      </c>
      <c r="C144" s="10" t="s">
        <v>6</v>
      </c>
      <c r="D144" s="10" t="s">
        <v>6</v>
      </c>
      <c r="E144" s="10" t="s">
        <v>6</v>
      </c>
      <c r="F144" s="10" t="s">
        <v>422</v>
      </c>
      <c r="G144" s="9" t="s">
        <v>6</v>
      </c>
      <c r="H144" s="9" t="s">
        <v>6</v>
      </c>
      <c r="I144" s="9" t="s">
        <v>6</v>
      </c>
      <c r="J144" s="9" t="s">
        <v>6</v>
      </c>
      <c r="K144" s="9" t="s">
        <v>6</v>
      </c>
      <c r="L144" s="14">
        <v>684.5</v>
      </c>
      <c r="M144" s="14">
        <f t="shared" si="6"/>
        <v>684.5</v>
      </c>
      <c r="N144" s="14">
        <v>684.5</v>
      </c>
      <c r="O144" s="14">
        <v>0</v>
      </c>
      <c r="P144" s="14">
        <v>0</v>
      </c>
      <c r="Q144" s="14">
        <v>0</v>
      </c>
      <c r="R144" s="14">
        <v>0</v>
      </c>
      <c r="S144" s="14">
        <f t="shared" si="7"/>
        <v>0</v>
      </c>
      <c r="T144" s="14">
        <f t="shared" si="8"/>
        <v>0</v>
      </c>
      <c r="U144" s="14">
        <v>0</v>
      </c>
      <c r="V144" s="14">
        <v>0</v>
      </c>
      <c r="W144" s="14">
        <v>0</v>
      </c>
      <c r="X144" s="14">
        <v>0</v>
      </c>
      <c r="Y144" s="14">
        <v>0</v>
      </c>
      <c r="Z144" s="14">
        <v>0</v>
      </c>
      <c r="AA144" s="14" t="s">
        <v>6</v>
      </c>
      <c r="AB144" s="16"/>
      <c r="AC144" s="16"/>
      <c r="AD144" s="16"/>
    </row>
    <row r="145" ht="21.75" customHeight="1" spans="1:30">
      <c r="A145" s="7">
        <f>145-5</f>
        <v>140</v>
      </c>
      <c r="B145" s="9" t="s">
        <v>6</v>
      </c>
      <c r="C145" s="10" t="s">
        <v>6</v>
      </c>
      <c r="D145" s="10" t="s">
        <v>6</v>
      </c>
      <c r="E145" s="10" t="s">
        <v>6</v>
      </c>
      <c r="F145" s="10" t="s">
        <v>6</v>
      </c>
      <c r="G145" s="9" t="s">
        <v>423</v>
      </c>
      <c r="H145" s="9" t="s">
        <v>6</v>
      </c>
      <c r="I145" s="9" t="s">
        <v>6</v>
      </c>
      <c r="J145" s="9" t="s">
        <v>6</v>
      </c>
      <c r="K145" s="9" t="s">
        <v>6</v>
      </c>
      <c r="L145" s="14">
        <v>10</v>
      </c>
      <c r="M145" s="14">
        <f t="shared" si="6"/>
        <v>10</v>
      </c>
      <c r="N145" s="14">
        <v>10</v>
      </c>
      <c r="O145" s="14">
        <v>0</v>
      </c>
      <c r="P145" s="14">
        <v>0</v>
      </c>
      <c r="Q145" s="14">
        <v>0</v>
      </c>
      <c r="R145" s="14">
        <v>0</v>
      </c>
      <c r="S145" s="14">
        <f t="shared" si="7"/>
        <v>0</v>
      </c>
      <c r="T145" s="14">
        <f t="shared" si="8"/>
        <v>0</v>
      </c>
      <c r="U145" s="14">
        <v>0</v>
      </c>
      <c r="V145" s="14">
        <v>0</v>
      </c>
      <c r="W145" s="14">
        <v>0</v>
      </c>
      <c r="X145" s="14">
        <v>0</v>
      </c>
      <c r="Y145" s="14">
        <v>0</v>
      </c>
      <c r="Z145" s="14">
        <v>0</v>
      </c>
      <c r="AA145" s="14" t="s">
        <v>6</v>
      </c>
      <c r="AB145" s="16"/>
      <c r="AC145" s="16"/>
      <c r="AD145" s="16"/>
    </row>
    <row r="146" ht="21.75" customHeight="1" spans="1:30">
      <c r="A146" s="7">
        <f>146-5</f>
        <v>141</v>
      </c>
      <c r="B146" s="9" t="s">
        <v>6</v>
      </c>
      <c r="C146" s="10" t="s">
        <v>6</v>
      </c>
      <c r="D146" s="10" t="s">
        <v>6</v>
      </c>
      <c r="E146" s="10" t="s">
        <v>6</v>
      </c>
      <c r="F146" s="10" t="s">
        <v>6</v>
      </c>
      <c r="G146" s="9" t="s">
        <v>6</v>
      </c>
      <c r="H146" s="9" t="s">
        <v>424</v>
      </c>
      <c r="I146" s="9" t="s">
        <v>611</v>
      </c>
      <c r="J146" s="9"/>
      <c r="K146" s="9" t="s">
        <v>559</v>
      </c>
      <c r="L146" s="14">
        <v>10</v>
      </c>
      <c r="M146" s="14">
        <f t="shared" si="6"/>
        <v>10</v>
      </c>
      <c r="N146" s="14">
        <v>10</v>
      </c>
      <c r="O146" s="14">
        <v>0</v>
      </c>
      <c r="P146" s="14">
        <v>0</v>
      </c>
      <c r="Q146" s="14">
        <v>0</v>
      </c>
      <c r="R146" s="14">
        <v>0</v>
      </c>
      <c r="S146" s="14">
        <f t="shared" si="7"/>
        <v>0</v>
      </c>
      <c r="T146" s="14">
        <f t="shared" si="8"/>
        <v>0</v>
      </c>
      <c r="U146" s="14">
        <v>0</v>
      </c>
      <c r="V146" s="14">
        <v>0</v>
      </c>
      <c r="W146" s="14">
        <v>0</v>
      </c>
      <c r="X146" s="14">
        <v>0</v>
      </c>
      <c r="Y146" s="14">
        <v>0</v>
      </c>
      <c r="Z146" s="14">
        <v>0</v>
      </c>
      <c r="AA146" s="14" t="s">
        <v>612</v>
      </c>
      <c r="AB146" s="16"/>
      <c r="AC146" s="16"/>
      <c r="AD146" s="16"/>
    </row>
    <row r="147" ht="21.75" customHeight="1" spans="1:30">
      <c r="A147" s="7">
        <f>147-5</f>
        <v>142</v>
      </c>
      <c r="B147" s="9" t="s">
        <v>6</v>
      </c>
      <c r="C147" s="10" t="s">
        <v>6</v>
      </c>
      <c r="D147" s="10" t="s">
        <v>6</v>
      </c>
      <c r="E147" s="10" t="s">
        <v>6</v>
      </c>
      <c r="F147" s="10" t="s">
        <v>6</v>
      </c>
      <c r="G147" s="9" t="s">
        <v>428</v>
      </c>
      <c r="H147" s="9" t="s">
        <v>6</v>
      </c>
      <c r="I147" s="9" t="s">
        <v>6</v>
      </c>
      <c r="J147" s="9" t="s">
        <v>6</v>
      </c>
      <c r="K147" s="9" t="s">
        <v>6</v>
      </c>
      <c r="L147" s="14">
        <v>89</v>
      </c>
      <c r="M147" s="14">
        <f t="shared" si="6"/>
        <v>89</v>
      </c>
      <c r="N147" s="14">
        <v>89</v>
      </c>
      <c r="O147" s="14">
        <v>0</v>
      </c>
      <c r="P147" s="14">
        <v>0</v>
      </c>
      <c r="Q147" s="14">
        <v>0</v>
      </c>
      <c r="R147" s="14">
        <v>0</v>
      </c>
      <c r="S147" s="14">
        <f t="shared" si="7"/>
        <v>0</v>
      </c>
      <c r="T147" s="14">
        <f t="shared" si="8"/>
        <v>0</v>
      </c>
      <c r="U147" s="14">
        <v>0</v>
      </c>
      <c r="V147" s="14">
        <v>0</v>
      </c>
      <c r="W147" s="14">
        <v>0</v>
      </c>
      <c r="X147" s="14">
        <v>0</v>
      </c>
      <c r="Y147" s="14">
        <v>0</v>
      </c>
      <c r="Z147" s="14">
        <v>0</v>
      </c>
      <c r="AA147" s="14" t="s">
        <v>6</v>
      </c>
      <c r="AB147" s="16"/>
      <c r="AC147" s="16"/>
      <c r="AD147" s="16"/>
    </row>
    <row r="148" ht="21.75" customHeight="1" spans="1:30">
      <c r="A148" s="7">
        <f>148-5</f>
        <v>143</v>
      </c>
      <c r="B148" s="9" t="s">
        <v>6</v>
      </c>
      <c r="C148" s="10" t="s">
        <v>6</v>
      </c>
      <c r="D148" s="10" t="s">
        <v>6</v>
      </c>
      <c r="E148" s="10" t="s">
        <v>6</v>
      </c>
      <c r="F148" s="10" t="s">
        <v>6</v>
      </c>
      <c r="G148" s="9" t="s">
        <v>6</v>
      </c>
      <c r="H148" s="9" t="s">
        <v>432</v>
      </c>
      <c r="I148" s="9" t="s">
        <v>670</v>
      </c>
      <c r="J148" s="9"/>
      <c r="K148" s="9" t="s">
        <v>559</v>
      </c>
      <c r="L148" s="14">
        <v>49</v>
      </c>
      <c r="M148" s="14">
        <f t="shared" si="6"/>
        <v>49</v>
      </c>
      <c r="N148" s="14">
        <v>49</v>
      </c>
      <c r="O148" s="14">
        <v>0</v>
      </c>
      <c r="P148" s="14">
        <v>0</v>
      </c>
      <c r="Q148" s="14">
        <v>0</v>
      </c>
      <c r="R148" s="14">
        <v>0</v>
      </c>
      <c r="S148" s="14">
        <f t="shared" si="7"/>
        <v>0</v>
      </c>
      <c r="T148" s="14">
        <f t="shared" si="8"/>
        <v>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14">
        <v>0</v>
      </c>
      <c r="AA148" s="14" t="s">
        <v>612</v>
      </c>
      <c r="AB148" s="16"/>
      <c r="AC148" s="16"/>
      <c r="AD148" s="16"/>
    </row>
    <row r="149" ht="21.75" customHeight="1" spans="1:30">
      <c r="A149" s="7">
        <f>149-5</f>
        <v>144</v>
      </c>
      <c r="B149" s="9" t="s">
        <v>6</v>
      </c>
      <c r="C149" s="10" t="s">
        <v>6</v>
      </c>
      <c r="D149" s="10" t="s">
        <v>6</v>
      </c>
      <c r="E149" s="10" t="s">
        <v>6</v>
      </c>
      <c r="F149" s="10" t="s">
        <v>6</v>
      </c>
      <c r="G149" s="9" t="s">
        <v>6</v>
      </c>
      <c r="H149" s="9" t="s">
        <v>430</v>
      </c>
      <c r="I149" s="9" t="s">
        <v>666</v>
      </c>
      <c r="J149" s="9"/>
      <c r="K149" s="9" t="s">
        <v>559</v>
      </c>
      <c r="L149" s="14">
        <v>35</v>
      </c>
      <c r="M149" s="14">
        <f t="shared" si="6"/>
        <v>35</v>
      </c>
      <c r="N149" s="14">
        <v>35</v>
      </c>
      <c r="O149" s="14">
        <v>0</v>
      </c>
      <c r="P149" s="14">
        <v>0</v>
      </c>
      <c r="Q149" s="14">
        <v>0</v>
      </c>
      <c r="R149" s="14">
        <v>0</v>
      </c>
      <c r="S149" s="14">
        <f t="shared" si="7"/>
        <v>0</v>
      </c>
      <c r="T149" s="14">
        <f t="shared" si="8"/>
        <v>0</v>
      </c>
      <c r="U149" s="14">
        <v>0</v>
      </c>
      <c r="V149" s="14">
        <v>0</v>
      </c>
      <c r="W149" s="14">
        <v>0</v>
      </c>
      <c r="X149" s="14">
        <v>0</v>
      </c>
      <c r="Y149" s="14">
        <v>0</v>
      </c>
      <c r="Z149" s="14">
        <v>0</v>
      </c>
      <c r="AA149" s="14" t="s">
        <v>612</v>
      </c>
      <c r="AB149" s="16"/>
      <c r="AC149" s="16"/>
      <c r="AD149" s="16"/>
    </row>
    <row r="150" ht="21.75" customHeight="1" spans="1:30">
      <c r="A150" s="7">
        <f>150-5</f>
        <v>145</v>
      </c>
      <c r="B150" s="9" t="s">
        <v>6</v>
      </c>
      <c r="C150" s="10" t="s">
        <v>6</v>
      </c>
      <c r="D150" s="10" t="s">
        <v>6</v>
      </c>
      <c r="E150" s="10" t="s">
        <v>6</v>
      </c>
      <c r="F150" s="10" t="s">
        <v>6</v>
      </c>
      <c r="G150" s="9" t="s">
        <v>6</v>
      </c>
      <c r="H150" s="9" t="s">
        <v>431</v>
      </c>
      <c r="I150" s="9" t="s">
        <v>670</v>
      </c>
      <c r="J150" s="9"/>
      <c r="K150" s="9" t="s">
        <v>559</v>
      </c>
      <c r="L150" s="14">
        <v>5</v>
      </c>
      <c r="M150" s="14">
        <f t="shared" si="6"/>
        <v>5</v>
      </c>
      <c r="N150" s="14">
        <v>5</v>
      </c>
      <c r="O150" s="14">
        <v>0</v>
      </c>
      <c r="P150" s="14">
        <v>0</v>
      </c>
      <c r="Q150" s="14">
        <v>0</v>
      </c>
      <c r="R150" s="14">
        <v>0</v>
      </c>
      <c r="S150" s="14">
        <f t="shared" si="7"/>
        <v>0</v>
      </c>
      <c r="T150" s="14">
        <f t="shared" si="8"/>
        <v>0</v>
      </c>
      <c r="U150" s="14">
        <v>0</v>
      </c>
      <c r="V150" s="14">
        <v>0</v>
      </c>
      <c r="W150" s="14">
        <v>0</v>
      </c>
      <c r="X150" s="14">
        <v>0</v>
      </c>
      <c r="Y150" s="14">
        <v>0</v>
      </c>
      <c r="Z150" s="14">
        <v>0</v>
      </c>
      <c r="AA150" s="14" t="s">
        <v>612</v>
      </c>
      <c r="AB150" s="16"/>
      <c r="AC150" s="16"/>
      <c r="AD150" s="16"/>
    </row>
    <row r="151" ht="21.75" customHeight="1" spans="1:30">
      <c r="A151" s="7">
        <f>151-5</f>
        <v>146</v>
      </c>
      <c r="B151" s="9" t="s">
        <v>6</v>
      </c>
      <c r="C151" s="10" t="s">
        <v>6</v>
      </c>
      <c r="D151" s="10" t="s">
        <v>6</v>
      </c>
      <c r="E151" s="10" t="s">
        <v>6</v>
      </c>
      <c r="F151" s="10" t="s">
        <v>6</v>
      </c>
      <c r="G151" s="9" t="s">
        <v>444</v>
      </c>
      <c r="H151" s="9" t="s">
        <v>6</v>
      </c>
      <c r="I151" s="9" t="s">
        <v>6</v>
      </c>
      <c r="J151" s="9" t="s">
        <v>6</v>
      </c>
      <c r="K151" s="9" t="s">
        <v>6</v>
      </c>
      <c r="L151" s="14">
        <v>431.5</v>
      </c>
      <c r="M151" s="14">
        <f t="shared" si="6"/>
        <v>431.5</v>
      </c>
      <c r="N151" s="14">
        <v>431.5</v>
      </c>
      <c r="O151" s="14">
        <v>0</v>
      </c>
      <c r="P151" s="14">
        <v>0</v>
      </c>
      <c r="Q151" s="14">
        <v>0</v>
      </c>
      <c r="R151" s="14">
        <v>0</v>
      </c>
      <c r="S151" s="14">
        <f t="shared" si="7"/>
        <v>0</v>
      </c>
      <c r="T151" s="14">
        <f t="shared" si="8"/>
        <v>0</v>
      </c>
      <c r="U151" s="14">
        <v>0</v>
      </c>
      <c r="V151" s="14">
        <v>0</v>
      </c>
      <c r="W151" s="14">
        <v>0</v>
      </c>
      <c r="X151" s="14">
        <v>0</v>
      </c>
      <c r="Y151" s="14">
        <v>0</v>
      </c>
      <c r="Z151" s="14">
        <v>0</v>
      </c>
      <c r="AA151" s="14" t="s">
        <v>6</v>
      </c>
      <c r="AB151" s="16"/>
      <c r="AC151" s="16"/>
      <c r="AD151" s="16"/>
    </row>
    <row r="152" ht="21.75" customHeight="1" spans="1:30">
      <c r="A152" s="7">
        <f>152-5</f>
        <v>147</v>
      </c>
      <c r="B152" s="9" t="s">
        <v>6</v>
      </c>
      <c r="C152" s="10" t="s">
        <v>6</v>
      </c>
      <c r="D152" s="10" t="s">
        <v>6</v>
      </c>
      <c r="E152" s="10" t="s">
        <v>6</v>
      </c>
      <c r="F152" s="10" t="s">
        <v>6</v>
      </c>
      <c r="G152" s="9" t="s">
        <v>6</v>
      </c>
      <c r="H152" s="9" t="s">
        <v>459</v>
      </c>
      <c r="I152" s="9" t="s">
        <v>670</v>
      </c>
      <c r="J152" s="9"/>
      <c r="K152" s="9" t="s">
        <v>559</v>
      </c>
      <c r="L152" s="14">
        <v>66</v>
      </c>
      <c r="M152" s="14">
        <f t="shared" si="6"/>
        <v>66</v>
      </c>
      <c r="N152" s="14">
        <v>66</v>
      </c>
      <c r="O152" s="14">
        <v>0</v>
      </c>
      <c r="P152" s="14">
        <v>0</v>
      </c>
      <c r="Q152" s="14">
        <v>0</v>
      </c>
      <c r="R152" s="14">
        <v>0</v>
      </c>
      <c r="S152" s="14">
        <f t="shared" si="7"/>
        <v>0</v>
      </c>
      <c r="T152" s="14">
        <f t="shared" si="8"/>
        <v>0</v>
      </c>
      <c r="U152" s="14">
        <v>0</v>
      </c>
      <c r="V152" s="14">
        <v>0</v>
      </c>
      <c r="W152" s="14">
        <v>0</v>
      </c>
      <c r="X152" s="14">
        <v>0</v>
      </c>
      <c r="Y152" s="14">
        <v>0</v>
      </c>
      <c r="Z152" s="14">
        <v>0</v>
      </c>
      <c r="AA152" s="14" t="s">
        <v>612</v>
      </c>
      <c r="AB152" s="16"/>
      <c r="AC152" s="16"/>
      <c r="AD152" s="16"/>
    </row>
    <row r="153" ht="21.75" customHeight="1" spans="1:30">
      <c r="A153" s="7">
        <f>153-5</f>
        <v>148</v>
      </c>
      <c r="B153" s="9" t="s">
        <v>6</v>
      </c>
      <c r="C153" s="10" t="s">
        <v>6</v>
      </c>
      <c r="D153" s="10" t="s">
        <v>6</v>
      </c>
      <c r="E153" s="10" t="s">
        <v>6</v>
      </c>
      <c r="F153" s="10" t="s">
        <v>6</v>
      </c>
      <c r="G153" s="9" t="s">
        <v>6</v>
      </c>
      <c r="H153" s="9" t="s">
        <v>451</v>
      </c>
      <c r="I153" s="9" t="s">
        <v>671</v>
      </c>
      <c r="J153" s="9"/>
      <c r="K153" s="9" t="s">
        <v>559</v>
      </c>
      <c r="L153" s="14">
        <v>32</v>
      </c>
      <c r="M153" s="14">
        <f t="shared" si="6"/>
        <v>32</v>
      </c>
      <c r="N153" s="14">
        <v>32</v>
      </c>
      <c r="O153" s="14">
        <v>0</v>
      </c>
      <c r="P153" s="14">
        <v>0</v>
      </c>
      <c r="Q153" s="14">
        <v>0</v>
      </c>
      <c r="R153" s="14">
        <v>0</v>
      </c>
      <c r="S153" s="14">
        <f t="shared" si="7"/>
        <v>0</v>
      </c>
      <c r="T153" s="14">
        <f t="shared" si="8"/>
        <v>0</v>
      </c>
      <c r="U153" s="14">
        <v>0</v>
      </c>
      <c r="V153" s="14">
        <v>0</v>
      </c>
      <c r="W153" s="14">
        <v>0</v>
      </c>
      <c r="X153" s="14">
        <v>0</v>
      </c>
      <c r="Y153" s="14">
        <v>0</v>
      </c>
      <c r="Z153" s="14">
        <v>0</v>
      </c>
      <c r="AA153" s="14" t="s">
        <v>612</v>
      </c>
      <c r="AB153" s="16"/>
      <c r="AC153" s="16"/>
      <c r="AD153" s="16"/>
    </row>
    <row r="154" ht="21.75" customHeight="1" spans="1:30">
      <c r="A154" s="7">
        <f>154-5</f>
        <v>149</v>
      </c>
      <c r="B154" s="9" t="s">
        <v>6</v>
      </c>
      <c r="C154" s="10" t="s">
        <v>6</v>
      </c>
      <c r="D154" s="10" t="s">
        <v>6</v>
      </c>
      <c r="E154" s="10" t="s">
        <v>6</v>
      </c>
      <c r="F154" s="10" t="s">
        <v>6</v>
      </c>
      <c r="G154" s="9" t="s">
        <v>6</v>
      </c>
      <c r="H154" s="9" t="s">
        <v>449</v>
      </c>
      <c r="I154" s="9" t="s">
        <v>670</v>
      </c>
      <c r="J154" s="9"/>
      <c r="K154" s="9" t="s">
        <v>559</v>
      </c>
      <c r="L154" s="14">
        <v>95</v>
      </c>
      <c r="M154" s="14">
        <f t="shared" si="6"/>
        <v>95</v>
      </c>
      <c r="N154" s="14">
        <v>95</v>
      </c>
      <c r="O154" s="14">
        <v>0</v>
      </c>
      <c r="P154" s="14">
        <v>0</v>
      </c>
      <c r="Q154" s="14">
        <v>0</v>
      </c>
      <c r="R154" s="14">
        <v>0</v>
      </c>
      <c r="S154" s="14">
        <f t="shared" si="7"/>
        <v>0</v>
      </c>
      <c r="T154" s="14">
        <f t="shared" si="8"/>
        <v>0</v>
      </c>
      <c r="U154" s="14">
        <v>0</v>
      </c>
      <c r="V154" s="14">
        <v>0</v>
      </c>
      <c r="W154" s="14">
        <v>0</v>
      </c>
      <c r="X154" s="14">
        <v>0</v>
      </c>
      <c r="Y154" s="14">
        <v>0</v>
      </c>
      <c r="Z154" s="14">
        <v>0</v>
      </c>
      <c r="AA154" s="14" t="s">
        <v>612</v>
      </c>
      <c r="AB154" s="16"/>
      <c r="AC154" s="16"/>
      <c r="AD154" s="16"/>
    </row>
    <row r="155" ht="21.75" customHeight="1" spans="1:30">
      <c r="A155" s="7">
        <f>155-5</f>
        <v>150</v>
      </c>
      <c r="B155" s="9" t="s">
        <v>6</v>
      </c>
      <c r="C155" s="10" t="s">
        <v>6</v>
      </c>
      <c r="D155" s="10" t="s">
        <v>6</v>
      </c>
      <c r="E155" s="10" t="s">
        <v>6</v>
      </c>
      <c r="F155" s="10" t="s">
        <v>6</v>
      </c>
      <c r="G155" s="9" t="s">
        <v>6</v>
      </c>
      <c r="H155" s="9" t="s">
        <v>447</v>
      </c>
      <c r="I155" s="9" t="s">
        <v>672</v>
      </c>
      <c r="J155" s="9"/>
      <c r="K155" s="9" t="s">
        <v>559</v>
      </c>
      <c r="L155" s="14">
        <v>15</v>
      </c>
      <c r="M155" s="14">
        <f t="shared" si="6"/>
        <v>15</v>
      </c>
      <c r="N155" s="14">
        <v>15</v>
      </c>
      <c r="O155" s="14">
        <v>0</v>
      </c>
      <c r="P155" s="14">
        <v>0</v>
      </c>
      <c r="Q155" s="14">
        <v>0</v>
      </c>
      <c r="R155" s="14">
        <v>0</v>
      </c>
      <c r="S155" s="14">
        <f t="shared" si="7"/>
        <v>0</v>
      </c>
      <c r="T155" s="14">
        <f t="shared" si="8"/>
        <v>0</v>
      </c>
      <c r="U155" s="14">
        <v>0</v>
      </c>
      <c r="V155" s="14">
        <v>0</v>
      </c>
      <c r="W155" s="14">
        <v>0</v>
      </c>
      <c r="X155" s="14">
        <v>0</v>
      </c>
      <c r="Y155" s="14">
        <v>0</v>
      </c>
      <c r="Z155" s="14">
        <v>0</v>
      </c>
      <c r="AA155" s="14" t="s">
        <v>612</v>
      </c>
      <c r="AB155" s="16"/>
      <c r="AC155" s="16"/>
      <c r="AD155" s="16"/>
    </row>
    <row r="156" ht="21.75" customHeight="1" spans="1:30">
      <c r="A156" s="7">
        <f>156-5</f>
        <v>151</v>
      </c>
      <c r="B156" s="9" t="s">
        <v>6</v>
      </c>
      <c r="C156" s="10" t="s">
        <v>6</v>
      </c>
      <c r="D156" s="10" t="s">
        <v>6</v>
      </c>
      <c r="E156" s="10" t="s">
        <v>6</v>
      </c>
      <c r="F156" s="10" t="s">
        <v>6</v>
      </c>
      <c r="G156" s="9" t="s">
        <v>6</v>
      </c>
      <c r="H156" s="9" t="s">
        <v>450</v>
      </c>
      <c r="I156" s="9" t="s">
        <v>673</v>
      </c>
      <c r="J156" s="9"/>
      <c r="K156" s="9" t="s">
        <v>559</v>
      </c>
      <c r="L156" s="14">
        <v>15</v>
      </c>
      <c r="M156" s="14">
        <f t="shared" si="6"/>
        <v>15</v>
      </c>
      <c r="N156" s="14">
        <v>15</v>
      </c>
      <c r="O156" s="14">
        <v>0</v>
      </c>
      <c r="P156" s="14">
        <v>0</v>
      </c>
      <c r="Q156" s="14">
        <v>0</v>
      </c>
      <c r="R156" s="14">
        <v>0</v>
      </c>
      <c r="S156" s="14">
        <f t="shared" si="7"/>
        <v>0</v>
      </c>
      <c r="T156" s="14">
        <f t="shared" si="8"/>
        <v>0</v>
      </c>
      <c r="U156" s="14">
        <v>0</v>
      </c>
      <c r="V156" s="14">
        <v>0</v>
      </c>
      <c r="W156" s="14">
        <v>0</v>
      </c>
      <c r="X156" s="14">
        <v>0</v>
      </c>
      <c r="Y156" s="14">
        <v>0</v>
      </c>
      <c r="Z156" s="14">
        <v>0</v>
      </c>
      <c r="AA156" s="14" t="s">
        <v>612</v>
      </c>
      <c r="AB156" s="16"/>
      <c r="AC156" s="16"/>
      <c r="AD156" s="16"/>
    </row>
    <row r="157" ht="21.75" customHeight="1" spans="1:30">
      <c r="A157" s="7">
        <f>157-5</f>
        <v>152</v>
      </c>
      <c r="B157" s="9" t="s">
        <v>6</v>
      </c>
      <c r="C157" s="10" t="s">
        <v>6</v>
      </c>
      <c r="D157" s="10" t="s">
        <v>6</v>
      </c>
      <c r="E157" s="10" t="s">
        <v>6</v>
      </c>
      <c r="F157" s="10" t="s">
        <v>6</v>
      </c>
      <c r="G157" s="9" t="s">
        <v>6</v>
      </c>
      <c r="H157" s="9" t="s">
        <v>455</v>
      </c>
      <c r="I157" s="9" t="s">
        <v>670</v>
      </c>
      <c r="J157" s="9"/>
      <c r="K157" s="9" t="s">
        <v>559</v>
      </c>
      <c r="L157" s="14">
        <v>13</v>
      </c>
      <c r="M157" s="14">
        <f t="shared" si="6"/>
        <v>13</v>
      </c>
      <c r="N157" s="14">
        <v>13</v>
      </c>
      <c r="O157" s="14">
        <v>0</v>
      </c>
      <c r="P157" s="14">
        <v>0</v>
      </c>
      <c r="Q157" s="14">
        <v>0</v>
      </c>
      <c r="R157" s="14">
        <v>0</v>
      </c>
      <c r="S157" s="14">
        <f t="shared" si="7"/>
        <v>0</v>
      </c>
      <c r="T157" s="14">
        <f t="shared" si="8"/>
        <v>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4">
        <v>0</v>
      </c>
      <c r="AA157" s="14" t="s">
        <v>612</v>
      </c>
      <c r="AB157" s="16"/>
      <c r="AC157" s="16"/>
      <c r="AD157" s="16"/>
    </row>
    <row r="158" ht="21.75" customHeight="1" spans="1:30">
      <c r="A158" s="7">
        <f>158-5</f>
        <v>153</v>
      </c>
      <c r="B158" s="9" t="s">
        <v>6</v>
      </c>
      <c r="C158" s="10" t="s">
        <v>6</v>
      </c>
      <c r="D158" s="10" t="s">
        <v>6</v>
      </c>
      <c r="E158" s="10" t="s">
        <v>6</v>
      </c>
      <c r="F158" s="10" t="s">
        <v>6</v>
      </c>
      <c r="G158" s="9" t="s">
        <v>6</v>
      </c>
      <c r="H158" s="9" t="s">
        <v>458</v>
      </c>
      <c r="I158" s="9" t="s">
        <v>670</v>
      </c>
      <c r="J158" s="9"/>
      <c r="K158" s="9" t="s">
        <v>559</v>
      </c>
      <c r="L158" s="14">
        <v>42</v>
      </c>
      <c r="M158" s="14">
        <f t="shared" si="6"/>
        <v>42</v>
      </c>
      <c r="N158" s="14">
        <v>42</v>
      </c>
      <c r="O158" s="14">
        <v>0</v>
      </c>
      <c r="P158" s="14">
        <v>0</v>
      </c>
      <c r="Q158" s="14">
        <v>0</v>
      </c>
      <c r="R158" s="14">
        <v>0</v>
      </c>
      <c r="S158" s="14">
        <f t="shared" si="7"/>
        <v>0</v>
      </c>
      <c r="T158" s="14">
        <f t="shared" si="8"/>
        <v>0</v>
      </c>
      <c r="U158" s="14">
        <v>0</v>
      </c>
      <c r="V158" s="14">
        <v>0</v>
      </c>
      <c r="W158" s="14">
        <v>0</v>
      </c>
      <c r="X158" s="14">
        <v>0</v>
      </c>
      <c r="Y158" s="14">
        <v>0</v>
      </c>
      <c r="Z158" s="14">
        <v>0</v>
      </c>
      <c r="AA158" s="14" t="s">
        <v>612</v>
      </c>
      <c r="AB158" s="16"/>
      <c r="AC158" s="16"/>
      <c r="AD158" s="16"/>
    </row>
    <row r="159" ht="21.75" customHeight="1" spans="1:30">
      <c r="A159" s="7">
        <f>159-5</f>
        <v>154</v>
      </c>
      <c r="B159" s="9" t="s">
        <v>6</v>
      </c>
      <c r="C159" s="10" t="s">
        <v>6</v>
      </c>
      <c r="D159" s="10" t="s">
        <v>6</v>
      </c>
      <c r="E159" s="10" t="s">
        <v>6</v>
      </c>
      <c r="F159" s="10" t="s">
        <v>6</v>
      </c>
      <c r="G159" s="9" t="s">
        <v>6</v>
      </c>
      <c r="H159" s="9" t="s">
        <v>454</v>
      </c>
      <c r="I159" s="9" t="s">
        <v>670</v>
      </c>
      <c r="J159" s="9"/>
      <c r="K159" s="9" t="s">
        <v>559</v>
      </c>
      <c r="L159" s="14">
        <v>45</v>
      </c>
      <c r="M159" s="14">
        <f t="shared" si="6"/>
        <v>45</v>
      </c>
      <c r="N159" s="14">
        <v>45</v>
      </c>
      <c r="O159" s="14">
        <v>0</v>
      </c>
      <c r="P159" s="14">
        <v>0</v>
      </c>
      <c r="Q159" s="14">
        <v>0</v>
      </c>
      <c r="R159" s="14">
        <v>0</v>
      </c>
      <c r="S159" s="14">
        <f t="shared" si="7"/>
        <v>0</v>
      </c>
      <c r="T159" s="14">
        <f t="shared" si="8"/>
        <v>0</v>
      </c>
      <c r="U159" s="14">
        <v>0</v>
      </c>
      <c r="V159" s="14">
        <v>0</v>
      </c>
      <c r="W159" s="14">
        <v>0</v>
      </c>
      <c r="X159" s="14">
        <v>0</v>
      </c>
      <c r="Y159" s="14">
        <v>0</v>
      </c>
      <c r="Z159" s="14">
        <v>0</v>
      </c>
      <c r="AA159" s="14" t="s">
        <v>612</v>
      </c>
      <c r="AB159" s="16"/>
      <c r="AC159" s="16"/>
      <c r="AD159" s="16"/>
    </row>
    <row r="160" ht="21.75" customHeight="1" spans="1:30">
      <c r="A160" s="7">
        <f>160-5</f>
        <v>155</v>
      </c>
      <c r="B160" s="9" t="s">
        <v>6</v>
      </c>
      <c r="C160" s="10" t="s">
        <v>6</v>
      </c>
      <c r="D160" s="10" t="s">
        <v>6</v>
      </c>
      <c r="E160" s="10" t="s">
        <v>6</v>
      </c>
      <c r="F160" s="10" t="s">
        <v>6</v>
      </c>
      <c r="G160" s="9" t="s">
        <v>6</v>
      </c>
      <c r="H160" s="9" t="s">
        <v>456</v>
      </c>
      <c r="I160" s="9" t="s">
        <v>673</v>
      </c>
      <c r="J160" s="9"/>
      <c r="K160" s="9" t="s">
        <v>559</v>
      </c>
      <c r="L160" s="14">
        <v>20</v>
      </c>
      <c r="M160" s="14">
        <f t="shared" si="6"/>
        <v>20</v>
      </c>
      <c r="N160" s="14">
        <v>20</v>
      </c>
      <c r="O160" s="14">
        <v>0</v>
      </c>
      <c r="P160" s="14">
        <v>0</v>
      </c>
      <c r="Q160" s="14">
        <v>0</v>
      </c>
      <c r="R160" s="14">
        <v>0</v>
      </c>
      <c r="S160" s="14">
        <f t="shared" si="7"/>
        <v>0</v>
      </c>
      <c r="T160" s="14">
        <f t="shared" si="8"/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 t="s">
        <v>612</v>
      </c>
      <c r="AB160" s="16"/>
      <c r="AC160" s="16"/>
      <c r="AD160" s="16"/>
    </row>
    <row r="161" ht="21.75" customHeight="1" spans="1:30">
      <c r="A161" s="7">
        <f>161-5</f>
        <v>156</v>
      </c>
      <c r="B161" s="9" t="s">
        <v>6</v>
      </c>
      <c r="C161" s="10" t="s">
        <v>6</v>
      </c>
      <c r="D161" s="10" t="s">
        <v>6</v>
      </c>
      <c r="E161" s="10" t="s">
        <v>6</v>
      </c>
      <c r="F161" s="10" t="s">
        <v>6</v>
      </c>
      <c r="G161" s="9" t="s">
        <v>6</v>
      </c>
      <c r="H161" s="9" t="s">
        <v>457</v>
      </c>
      <c r="I161" s="9" t="s">
        <v>673</v>
      </c>
      <c r="J161" s="9"/>
      <c r="K161" s="9" t="s">
        <v>559</v>
      </c>
      <c r="L161" s="14">
        <v>48.5</v>
      </c>
      <c r="M161" s="14">
        <f t="shared" si="6"/>
        <v>48.5</v>
      </c>
      <c r="N161" s="14">
        <v>48.5</v>
      </c>
      <c r="O161" s="14">
        <v>0</v>
      </c>
      <c r="P161" s="14">
        <v>0</v>
      </c>
      <c r="Q161" s="14">
        <v>0</v>
      </c>
      <c r="R161" s="14">
        <v>0</v>
      </c>
      <c r="S161" s="14">
        <f t="shared" si="7"/>
        <v>0</v>
      </c>
      <c r="T161" s="14">
        <f t="shared" si="8"/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 t="s">
        <v>612</v>
      </c>
      <c r="AB161" s="16"/>
      <c r="AC161" s="16"/>
      <c r="AD161" s="16"/>
    </row>
    <row r="162" ht="21.75" customHeight="1" spans="1:30">
      <c r="A162" s="7">
        <f>162-5</f>
        <v>157</v>
      </c>
      <c r="B162" s="9" t="s">
        <v>6</v>
      </c>
      <c r="C162" s="10" t="s">
        <v>6</v>
      </c>
      <c r="D162" s="10" t="s">
        <v>6</v>
      </c>
      <c r="E162" s="10" t="s">
        <v>6</v>
      </c>
      <c r="F162" s="10" t="s">
        <v>6</v>
      </c>
      <c r="G162" s="9" t="s">
        <v>6</v>
      </c>
      <c r="H162" s="9" t="s">
        <v>448</v>
      </c>
      <c r="I162" s="9" t="s">
        <v>666</v>
      </c>
      <c r="J162" s="9"/>
      <c r="K162" s="9" t="s">
        <v>559</v>
      </c>
      <c r="L162" s="14">
        <v>40</v>
      </c>
      <c r="M162" s="14">
        <f t="shared" si="6"/>
        <v>40</v>
      </c>
      <c r="N162" s="14">
        <v>40</v>
      </c>
      <c r="O162" s="14">
        <v>0</v>
      </c>
      <c r="P162" s="14">
        <v>0</v>
      </c>
      <c r="Q162" s="14">
        <v>0</v>
      </c>
      <c r="R162" s="14">
        <v>0</v>
      </c>
      <c r="S162" s="14">
        <f t="shared" si="7"/>
        <v>0</v>
      </c>
      <c r="T162" s="14">
        <f t="shared" si="8"/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 t="s">
        <v>612</v>
      </c>
      <c r="AB162" s="16"/>
      <c r="AC162" s="16"/>
      <c r="AD162" s="16"/>
    </row>
    <row r="163" ht="21.75" customHeight="1" spans="1:30">
      <c r="A163" s="7">
        <f>163-5</f>
        <v>158</v>
      </c>
      <c r="B163" s="9" t="s">
        <v>6</v>
      </c>
      <c r="C163" s="10" t="s">
        <v>6</v>
      </c>
      <c r="D163" s="10" t="s">
        <v>6</v>
      </c>
      <c r="E163" s="10" t="s">
        <v>6</v>
      </c>
      <c r="F163" s="10" t="s">
        <v>6</v>
      </c>
      <c r="G163" s="9" t="s">
        <v>436</v>
      </c>
      <c r="H163" s="9" t="s">
        <v>6</v>
      </c>
      <c r="I163" s="9" t="s">
        <v>6</v>
      </c>
      <c r="J163" s="9" t="s">
        <v>6</v>
      </c>
      <c r="K163" s="9" t="s">
        <v>6</v>
      </c>
      <c r="L163" s="14">
        <v>154</v>
      </c>
      <c r="M163" s="14">
        <f t="shared" si="6"/>
        <v>154</v>
      </c>
      <c r="N163" s="14">
        <v>154</v>
      </c>
      <c r="O163" s="14">
        <v>0</v>
      </c>
      <c r="P163" s="14">
        <v>0</v>
      </c>
      <c r="Q163" s="14">
        <v>0</v>
      </c>
      <c r="R163" s="14">
        <v>0</v>
      </c>
      <c r="S163" s="14">
        <f t="shared" si="7"/>
        <v>0</v>
      </c>
      <c r="T163" s="14">
        <f t="shared" si="8"/>
        <v>0</v>
      </c>
      <c r="U163" s="14">
        <v>0</v>
      </c>
      <c r="V163" s="14">
        <v>0</v>
      </c>
      <c r="W163" s="14">
        <v>0</v>
      </c>
      <c r="X163" s="14">
        <v>0</v>
      </c>
      <c r="Y163" s="14">
        <v>0</v>
      </c>
      <c r="Z163" s="14">
        <v>0</v>
      </c>
      <c r="AA163" s="14" t="s">
        <v>6</v>
      </c>
      <c r="AB163" s="16"/>
      <c r="AC163" s="16"/>
      <c r="AD163" s="16"/>
    </row>
    <row r="164" ht="14.25" customHeight="1" spans="1:30">
      <c r="A164" s="7">
        <f>164-5</f>
        <v>159</v>
      </c>
      <c r="B164" s="9" t="s">
        <v>6</v>
      </c>
      <c r="C164" s="10" t="s">
        <v>6</v>
      </c>
      <c r="D164" s="10" t="s">
        <v>6</v>
      </c>
      <c r="E164" s="10" t="s">
        <v>6</v>
      </c>
      <c r="F164" s="10" t="s">
        <v>6</v>
      </c>
      <c r="G164" s="9" t="s">
        <v>6</v>
      </c>
      <c r="H164" s="9" t="s">
        <v>443</v>
      </c>
      <c r="I164" s="9" t="s">
        <v>673</v>
      </c>
      <c r="J164" s="9"/>
      <c r="K164" s="9" t="s">
        <v>559</v>
      </c>
      <c r="L164" s="14">
        <v>90</v>
      </c>
      <c r="M164" s="14">
        <f t="shared" si="6"/>
        <v>90</v>
      </c>
      <c r="N164" s="14">
        <v>90</v>
      </c>
      <c r="O164" s="14">
        <v>0</v>
      </c>
      <c r="P164" s="14">
        <v>0</v>
      </c>
      <c r="Q164" s="14">
        <v>0</v>
      </c>
      <c r="R164" s="14">
        <v>0</v>
      </c>
      <c r="S164" s="14">
        <f t="shared" si="7"/>
        <v>0</v>
      </c>
      <c r="T164" s="14">
        <f t="shared" si="8"/>
        <v>0</v>
      </c>
      <c r="U164" s="14">
        <v>0</v>
      </c>
      <c r="V164" s="14">
        <v>0</v>
      </c>
      <c r="W164" s="14">
        <v>0</v>
      </c>
      <c r="X164" s="14">
        <v>0</v>
      </c>
      <c r="Y164" s="14">
        <v>0</v>
      </c>
      <c r="Z164" s="14">
        <v>0</v>
      </c>
      <c r="AA164" s="14" t="s">
        <v>612</v>
      </c>
      <c r="AB164" s="16"/>
      <c r="AC164" s="16"/>
      <c r="AD164" s="16"/>
    </row>
    <row r="165" ht="14.25" customHeight="1" spans="1:30">
      <c r="A165" s="7">
        <f>165-5</f>
        <v>160</v>
      </c>
      <c r="B165" s="9" t="s">
        <v>6</v>
      </c>
      <c r="C165" s="10" t="s">
        <v>6</v>
      </c>
      <c r="D165" s="10" t="s">
        <v>6</v>
      </c>
      <c r="E165" s="10" t="s">
        <v>6</v>
      </c>
      <c r="F165" s="10" t="s">
        <v>6</v>
      </c>
      <c r="G165" s="9" t="s">
        <v>6</v>
      </c>
      <c r="H165" s="9" t="s">
        <v>440</v>
      </c>
      <c r="I165" s="9" t="s">
        <v>674</v>
      </c>
      <c r="J165" s="9"/>
      <c r="K165" s="9" t="s">
        <v>559</v>
      </c>
      <c r="L165" s="14">
        <v>49</v>
      </c>
      <c r="M165" s="14">
        <f t="shared" si="6"/>
        <v>49</v>
      </c>
      <c r="N165" s="14">
        <v>49</v>
      </c>
      <c r="O165" s="14">
        <v>0</v>
      </c>
      <c r="P165" s="14">
        <v>0</v>
      </c>
      <c r="Q165" s="14">
        <v>0</v>
      </c>
      <c r="R165" s="14">
        <v>0</v>
      </c>
      <c r="S165" s="14">
        <f t="shared" si="7"/>
        <v>0</v>
      </c>
      <c r="T165" s="14">
        <f t="shared" si="8"/>
        <v>0</v>
      </c>
      <c r="U165" s="14">
        <v>0</v>
      </c>
      <c r="V165" s="14">
        <v>0</v>
      </c>
      <c r="W165" s="14">
        <v>0</v>
      </c>
      <c r="X165" s="14">
        <v>0</v>
      </c>
      <c r="Y165" s="14">
        <v>0</v>
      </c>
      <c r="Z165" s="14">
        <v>0</v>
      </c>
      <c r="AA165" s="14" t="s">
        <v>612</v>
      </c>
      <c r="AB165" s="16"/>
      <c r="AC165" s="16"/>
      <c r="AD165" s="16"/>
    </row>
    <row r="166" ht="14.25" customHeight="1" spans="1:30">
      <c r="A166" s="7">
        <f>166-5</f>
        <v>161</v>
      </c>
      <c r="B166" s="9" t="s">
        <v>6</v>
      </c>
      <c r="C166" s="10" t="s">
        <v>6</v>
      </c>
      <c r="D166" s="10" t="s">
        <v>6</v>
      </c>
      <c r="E166" s="10" t="s">
        <v>6</v>
      </c>
      <c r="F166" s="10" t="s">
        <v>6</v>
      </c>
      <c r="G166" s="9" t="s">
        <v>6</v>
      </c>
      <c r="H166" s="9" t="s">
        <v>441</v>
      </c>
      <c r="I166" s="9" t="s">
        <v>674</v>
      </c>
      <c r="J166" s="9"/>
      <c r="K166" s="9" t="s">
        <v>559</v>
      </c>
      <c r="L166" s="14">
        <v>15</v>
      </c>
      <c r="M166" s="14">
        <f t="shared" si="6"/>
        <v>15</v>
      </c>
      <c r="N166" s="14">
        <v>15</v>
      </c>
      <c r="O166" s="14">
        <v>0</v>
      </c>
      <c r="P166" s="14">
        <v>0</v>
      </c>
      <c r="Q166" s="14">
        <v>0</v>
      </c>
      <c r="R166" s="14">
        <v>0</v>
      </c>
      <c r="S166" s="14">
        <f t="shared" si="7"/>
        <v>0</v>
      </c>
      <c r="T166" s="14">
        <f t="shared" si="8"/>
        <v>0</v>
      </c>
      <c r="U166" s="14">
        <v>0</v>
      </c>
      <c r="V166" s="14">
        <v>0</v>
      </c>
      <c r="W166" s="14">
        <v>0</v>
      </c>
      <c r="X166" s="14">
        <v>0</v>
      </c>
      <c r="Y166" s="14">
        <v>0</v>
      </c>
      <c r="Z166" s="14">
        <v>0</v>
      </c>
      <c r="AA166" s="14" t="s">
        <v>612</v>
      </c>
      <c r="AB166" s="16"/>
      <c r="AC166" s="16"/>
      <c r="AD166" s="16"/>
    </row>
    <row r="167" ht="14.25" customHeight="1" spans="1:30">
      <c r="A167" s="7">
        <f>167-5</f>
        <v>162</v>
      </c>
      <c r="B167" s="9" t="s">
        <v>6</v>
      </c>
      <c r="C167" s="10" t="s">
        <v>6</v>
      </c>
      <c r="D167" s="10" t="s">
        <v>6</v>
      </c>
      <c r="E167" s="10" t="s">
        <v>6</v>
      </c>
      <c r="F167" s="10" t="s">
        <v>493</v>
      </c>
      <c r="G167" s="9" t="s">
        <v>6</v>
      </c>
      <c r="H167" s="9" t="s">
        <v>6</v>
      </c>
      <c r="I167" s="9" t="s">
        <v>6</v>
      </c>
      <c r="J167" s="9" t="s">
        <v>6</v>
      </c>
      <c r="K167" s="9" t="s">
        <v>6</v>
      </c>
      <c r="L167" s="14">
        <v>174</v>
      </c>
      <c r="M167" s="14">
        <f t="shared" si="6"/>
        <v>174</v>
      </c>
      <c r="N167" s="14">
        <v>174</v>
      </c>
      <c r="O167" s="14">
        <v>0</v>
      </c>
      <c r="P167" s="14">
        <v>0</v>
      </c>
      <c r="Q167" s="14">
        <v>0</v>
      </c>
      <c r="R167" s="14">
        <v>0</v>
      </c>
      <c r="S167" s="14">
        <f t="shared" si="7"/>
        <v>0</v>
      </c>
      <c r="T167" s="14">
        <f t="shared" si="8"/>
        <v>0</v>
      </c>
      <c r="U167" s="14">
        <v>0</v>
      </c>
      <c r="V167" s="14">
        <v>0</v>
      </c>
      <c r="W167" s="14">
        <v>0</v>
      </c>
      <c r="X167" s="14">
        <v>0</v>
      </c>
      <c r="Y167" s="14">
        <v>0</v>
      </c>
      <c r="Z167" s="14">
        <v>0</v>
      </c>
      <c r="AA167" s="14" t="s">
        <v>6</v>
      </c>
      <c r="AB167" s="16"/>
      <c r="AC167" s="16"/>
      <c r="AD167" s="16"/>
    </row>
    <row r="168" ht="14.25" customHeight="1" spans="1:30">
      <c r="A168" s="7">
        <f>168-5</f>
        <v>163</v>
      </c>
      <c r="B168" s="9" t="s">
        <v>6</v>
      </c>
      <c r="C168" s="10" t="s">
        <v>6</v>
      </c>
      <c r="D168" s="10" t="s">
        <v>6</v>
      </c>
      <c r="E168" s="10" t="s">
        <v>6</v>
      </c>
      <c r="F168" s="10" t="s">
        <v>6</v>
      </c>
      <c r="G168" s="9" t="s">
        <v>494</v>
      </c>
      <c r="H168" s="9" t="s">
        <v>6</v>
      </c>
      <c r="I168" s="9" t="s">
        <v>6</v>
      </c>
      <c r="J168" s="9" t="s">
        <v>6</v>
      </c>
      <c r="K168" s="9" t="s">
        <v>6</v>
      </c>
      <c r="L168" s="14">
        <v>174</v>
      </c>
      <c r="M168" s="14">
        <f t="shared" si="6"/>
        <v>174</v>
      </c>
      <c r="N168" s="14">
        <v>174</v>
      </c>
      <c r="O168" s="14">
        <v>0</v>
      </c>
      <c r="P168" s="14">
        <v>0</v>
      </c>
      <c r="Q168" s="14">
        <v>0</v>
      </c>
      <c r="R168" s="14">
        <v>0</v>
      </c>
      <c r="S168" s="14">
        <f t="shared" si="7"/>
        <v>0</v>
      </c>
      <c r="T168" s="14">
        <f t="shared" si="8"/>
        <v>0</v>
      </c>
      <c r="U168" s="14">
        <v>0</v>
      </c>
      <c r="V168" s="14">
        <v>0</v>
      </c>
      <c r="W168" s="14">
        <v>0</v>
      </c>
      <c r="X168" s="14">
        <v>0</v>
      </c>
      <c r="Y168" s="14">
        <v>0</v>
      </c>
      <c r="Z168" s="14">
        <v>0</v>
      </c>
      <c r="AA168" s="14" t="s">
        <v>6</v>
      </c>
      <c r="AB168" s="16"/>
      <c r="AC168" s="16"/>
      <c r="AD168" s="16"/>
    </row>
    <row r="169" ht="14.25" customHeight="1" spans="1:30">
      <c r="A169" s="7">
        <f>169-5</f>
        <v>164</v>
      </c>
      <c r="B169" s="9" t="s">
        <v>6</v>
      </c>
      <c r="C169" s="10" t="s">
        <v>6</v>
      </c>
      <c r="D169" s="10" t="s">
        <v>6</v>
      </c>
      <c r="E169" s="10" t="s">
        <v>6</v>
      </c>
      <c r="F169" s="10" t="s">
        <v>6</v>
      </c>
      <c r="G169" s="9" t="s">
        <v>6</v>
      </c>
      <c r="H169" s="9" t="s">
        <v>499</v>
      </c>
      <c r="I169" s="9" t="s">
        <v>672</v>
      </c>
      <c r="J169" s="9"/>
      <c r="K169" s="9" t="s">
        <v>559</v>
      </c>
      <c r="L169" s="14">
        <v>30</v>
      </c>
      <c r="M169" s="14">
        <f t="shared" si="6"/>
        <v>30</v>
      </c>
      <c r="N169" s="14">
        <v>30</v>
      </c>
      <c r="O169" s="14">
        <v>0</v>
      </c>
      <c r="P169" s="14">
        <v>0</v>
      </c>
      <c r="Q169" s="14">
        <v>0</v>
      </c>
      <c r="R169" s="14">
        <v>0</v>
      </c>
      <c r="S169" s="14">
        <f t="shared" si="7"/>
        <v>0</v>
      </c>
      <c r="T169" s="14">
        <f t="shared" si="8"/>
        <v>0</v>
      </c>
      <c r="U169" s="14">
        <v>0</v>
      </c>
      <c r="V169" s="14">
        <v>0</v>
      </c>
      <c r="W169" s="14">
        <v>0</v>
      </c>
      <c r="X169" s="14">
        <v>0</v>
      </c>
      <c r="Y169" s="14">
        <v>0</v>
      </c>
      <c r="Z169" s="14">
        <v>0</v>
      </c>
      <c r="AA169" s="14" t="s">
        <v>612</v>
      </c>
      <c r="AB169" s="16"/>
      <c r="AC169" s="16"/>
      <c r="AD169" s="16"/>
    </row>
    <row r="170" ht="14.25" customHeight="1" spans="1:30">
      <c r="A170" s="7">
        <f>170-5</f>
        <v>165</v>
      </c>
      <c r="B170" s="9" t="s">
        <v>6</v>
      </c>
      <c r="C170" s="10" t="s">
        <v>6</v>
      </c>
      <c r="D170" s="10" t="s">
        <v>6</v>
      </c>
      <c r="E170" s="10" t="s">
        <v>6</v>
      </c>
      <c r="F170" s="10" t="s">
        <v>6</v>
      </c>
      <c r="G170" s="9" t="s">
        <v>6</v>
      </c>
      <c r="H170" s="9" t="s">
        <v>497</v>
      </c>
      <c r="I170" s="9" t="s">
        <v>672</v>
      </c>
      <c r="J170" s="9"/>
      <c r="K170" s="9" t="s">
        <v>559</v>
      </c>
      <c r="L170" s="14">
        <v>50</v>
      </c>
      <c r="M170" s="14">
        <f t="shared" si="6"/>
        <v>50</v>
      </c>
      <c r="N170" s="14">
        <v>50</v>
      </c>
      <c r="O170" s="14">
        <v>0</v>
      </c>
      <c r="P170" s="14">
        <v>0</v>
      </c>
      <c r="Q170" s="14">
        <v>0</v>
      </c>
      <c r="R170" s="14">
        <v>0</v>
      </c>
      <c r="S170" s="14">
        <f t="shared" si="7"/>
        <v>0</v>
      </c>
      <c r="T170" s="14">
        <f t="shared" si="8"/>
        <v>0</v>
      </c>
      <c r="U170" s="14">
        <v>0</v>
      </c>
      <c r="V170" s="14">
        <v>0</v>
      </c>
      <c r="W170" s="14">
        <v>0</v>
      </c>
      <c r="X170" s="14">
        <v>0</v>
      </c>
      <c r="Y170" s="14">
        <v>0</v>
      </c>
      <c r="Z170" s="14">
        <v>0</v>
      </c>
      <c r="AA170" s="14" t="s">
        <v>612</v>
      </c>
      <c r="AB170" s="16"/>
      <c r="AC170" s="16"/>
      <c r="AD170" s="16"/>
    </row>
    <row r="171" ht="14.25" customHeight="1" spans="1:30">
      <c r="A171" s="7">
        <f>171-5</f>
        <v>166</v>
      </c>
      <c r="B171" s="9" t="s">
        <v>6</v>
      </c>
      <c r="C171" s="10" t="s">
        <v>6</v>
      </c>
      <c r="D171" s="10" t="s">
        <v>6</v>
      </c>
      <c r="E171" s="10" t="s">
        <v>6</v>
      </c>
      <c r="F171" s="10" t="s">
        <v>6</v>
      </c>
      <c r="G171" s="9" t="s">
        <v>6</v>
      </c>
      <c r="H171" s="9" t="s">
        <v>498</v>
      </c>
      <c r="I171" s="9" t="s">
        <v>672</v>
      </c>
      <c r="J171" s="9"/>
      <c r="K171" s="9" t="s">
        <v>559</v>
      </c>
      <c r="L171" s="14">
        <v>94</v>
      </c>
      <c r="M171" s="14">
        <f t="shared" si="6"/>
        <v>94</v>
      </c>
      <c r="N171" s="14">
        <v>94</v>
      </c>
      <c r="O171" s="14">
        <v>0</v>
      </c>
      <c r="P171" s="14">
        <v>0</v>
      </c>
      <c r="Q171" s="14">
        <v>0</v>
      </c>
      <c r="R171" s="14">
        <v>0</v>
      </c>
      <c r="S171" s="14">
        <f t="shared" si="7"/>
        <v>0</v>
      </c>
      <c r="T171" s="14">
        <f t="shared" si="8"/>
        <v>0</v>
      </c>
      <c r="U171" s="14">
        <v>0</v>
      </c>
      <c r="V171" s="14">
        <v>0</v>
      </c>
      <c r="W171" s="14">
        <v>0</v>
      </c>
      <c r="X171" s="14">
        <v>0</v>
      </c>
      <c r="Y171" s="14">
        <v>0</v>
      </c>
      <c r="Z171" s="14">
        <v>0</v>
      </c>
      <c r="AA171" s="14" t="s">
        <v>612</v>
      </c>
      <c r="AB171" s="16"/>
      <c r="AC171" s="16"/>
      <c r="AD171" s="16"/>
    </row>
    <row r="172" ht="14.25" customHeight="1" spans="1:30">
      <c r="A172" s="7">
        <f>172-5</f>
        <v>167</v>
      </c>
      <c r="B172" s="9" t="s">
        <v>6</v>
      </c>
      <c r="C172" s="10" t="s">
        <v>6</v>
      </c>
      <c r="D172" s="10" t="s">
        <v>6</v>
      </c>
      <c r="E172" s="10" t="s">
        <v>6</v>
      </c>
      <c r="F172" s="10" t="s">
        <v>364</v>
      </c>
      <c r="G172" s="9" t="s">
        <v>6</v>
      </c>
      <c r="H172" s="9" t="s">
        <v>6</v>
      </c>
      <c r="I172" s="9" t="s">
        <v>6</v>
      </c>
      <c r="J172" s="9" t="s">
        <v>6</v>
      </c>
      <c r="K172" s="9" t="s">
        <v>6</v>
      </c>
      <c r="L172" s="14">
        <v>36</v>
      </c>
      <c r="M172" s="14">
        <f t="shared" si="6"/>
        <v>36</v>
      </c>
      <c r="N172" s="14">
        <v>36</v>
      </c>
      <c r="O172" s="14">
        <v>0</v>
      </c>
      <c r="P172" s="14">
        <v>0</v>
      </c>
      <c r="Q172" s="14">
        <v>0</v>
      </c>
      <c r="R172" s="14">
        <v>0</v>
      </c>
      <c r="S172" s="14">
        <f t="shared" si="7"/>
        <v>0</v>
      </c>
      <c r="T172" s="14">
        <f t="shared" si="8"/>
        <v>0</v>
      </c>
      <c r="U172" s="14">
        <v>0</v>
      </c>
      <c r="V172" s="14">
        <v>0</v>
      </c>
      <c r="W172" s="14">
        <v>0</v>
      </c>
      <c r="X172" s="14">
        <v>0</v>
      </c>
      <c r="Y172" s="14">
        <v>0</v>
      </c>
      <c r="Z172" s="14">
        <v>0</v>
      </c>
      <c r="AA172" s="14" t="s">
        <v>6</v>
      </c>
      <c r="AB172" s="16"/>
      <c r="AC172" s="16"/>
      <c r="AD172" s="16"/>
    </row>
    <row r="173" ht="14.25" customHeight="1" spans="1:30">
      <c r="A173" s="7">
        <f>173-5</f>
        <v>168</v>
      </c>
      <c r="B173" s="9" t="s">
        <v>6</v>
      </c>
      <c r="C173" s="10" t="s">
        <v>6</v>
      </c>
      <c r="D173" s="10" t="s">
        <v>6</v>
      </c>
      <c r="E173" s="10" t="s">
        <v>6</v>
      </c>
      <c r="F173" s="10" t="s">
        <v>6</v>
      </c>
      <c r="G173" s="9" t="s">
        <v>369</v>
      </c>
      <c r="H173" s="9" t="s">
        <v>6</v>
      </c>
      <c r="I173" s="9" t="s">
        <v>6</v>
      </c>
      <c r="J173" s="9" t="s">
        <v>6</v>
      </c>
      <c r="K173" s="9" t="s">
        <v>6</v>
      </c>
      <c r="L173" s="14">
        <v>36</v>
      </c>
      <c r="M173" s="14">
        <f t="shared" si="6"/>
        <v>36</v>
      </c>
      <c r="N173" s="14">
        <v>36</v>
      </c>
      <c r="O173" s="14">
        <v>0</v>
      </c>
      <c r="P173" s="14">
        <v>0</v>
      </c>
      <c r="Q173" s="14">
        <v>0</v>
      </c>
      <c r="R173" s="14">
        <v>0</v>
      </c>
      <c r="S173" s="14">
        <f t="shared" si="7"/>
        <v>0</v>
      </c>
      <c r="T173" s="14">
        <f t="shared" si="8"/>
        <v>0</v>
      </c>
      <c r="U173" s="14">
        <v>0</v>
      </c>
      <c r="V173" s="14">
        <v>0</v>
      </c>
      <c r="W173" s="14">
        <v>0</v>
      </c>
      <c r="X173" s="14">
        <v>0</v>
      </c>
      <c r="Y173" s="14">
        <v>0</v>
      </c>
      <c r="Z173" s="14">
        <v>0</v>
      </c>
      <c r="AA173" s="14" t="s">
        <v>6</v>
      </c>
      <c r="AB173" s="16"/>
      <c r="AC173" s="16"/>
      <c r="AD173" s="16"/>
    </row>
    <row r="174" ht="14.25" customHeight="1" spans="1:30">
      <c r="A174" s="7">
        <f>174-5</f>
        <v>169</v>
      </c>
      <c r="B174" s="9" t="s">
        <v>6</v>
      </c>
      <c r="C174" s="10" t="s">
        <v>6</v>
      </c>
      <c r="D174" s="10" t="s">
        <v>6</v>
      </c>
      <c r="E174" s="10" t="s">
        <v>6</v>
      </c>
      <c r="F174" s="10" t="s">
        <v>6</v>
      </c>
      <c r="G174" s="9" t="s">
        <v>6</v>
      </c>
      <c r="H174" s="9" t="s">
        <v>372</v>
      </c>
      <c r="I174" s="9" t="s">
        <v>660</v>
      </c>
      <c r="J174" s="9"/>
      <c r="K174" s="9" t="s">
        <v>559</v>
      </c>
      <c r="L174" s="14">
        <v>10</v>
      </c>
      <c r="M174" s="14">
        <f t="shared" si="6"/>
        <v>10</v>
      </c>
      <c r="N174" s="14">
        <v>10</v>
      </c>
      <c r="O174" s="14">
        <v>0</v>
      </c>
      <c r="P174" s="14">
        <v>0</v>
      </c>
      <c r="Q174" s="14">
        <v>0</v>
      </c>
      <c r="R174" s="14">
        <v>0</v>
      </c>
      <c r="S174" s="14">
        <f t="shared" si="7"/>
        <v>0</v>
      </c>
      <c r="T174" s="14">
        <f t="shared" si="8"/>
        <v>0</v>
      </c>
      <c r="U174" s="14">
        <v>0</v>
      </c>
      <c r="V174" s="14">
        <v>0</v>
      </c>
      <c r="W174" s="14">
        <v>0</v>
      </c>
      <c r="X174" s="14">
        <v>0</v>
      </c>
      <c r="Y174" s="14">
        <v>0</v>
      </c>
      <c r="Z174" s="14">
        <v>0</v>
      </c>
      <c r="AA174" s="14" t="s">
        <v>612</v>
      </c>
      <c r="AB174" s="16"/>
      <c r="AC174" s="16"/>
      <c r="AD174" s="16"/>
    </row>
    <row r="175" ht="14.25" customHeight="1" spans="1:30">
      <c r="A175" s="7">
        <f>175-5</f>
        <v>170</v>
      </c>
      <c r="B175" s="9" t="s">
        <v>6</v>
      </c>
      <c r="C175" s="10" t="s">
        <v>6</v>
      </c>
      <c r="D175" s="10" t="s">
        <v>6</v>
      </c>
      <c r="E175" s="10" t="s">
        <v>6</v>
      </c>
      <c r="F175" s="10" t="s">
        <v>6</v>
      </c>
      <c r="G175" s="9" t="s">
        <v>6</v>
      </c>
      <c r="H175" s="9" t="s">
        <v>371</v>
      </c>
      <c r="I175" s="9" t="s">
        <v>660</v>
      </c>
      <c r="J175" s="9"/>
      <c r="K175" s="9" t="s">
        <v>559</v>
      </c>
      <c r="L175" s="14">
        <v>18</v>
      </c>
      <c r="M175" s="14">
        <f t="shared" si="6"/>
        <v>18</v>
      </c>
      <c r="N175" s="14">
        <v>18</v>
      </c>
      <c r="O175" s="14">
        <v>0</v>
      </c>
      <c r="P175" s="14">
        <v>0</v>
      </c>
      <c r="Q175" s="14">
        <v>0</v>
      </c>
      <c r="R175" s="14">
        <v>0</v>
      </c>
      <c r="S175" s="14">
        <f t="shared" si="7"/>
        <v>0</v>
      </c>
      <c r="T175" s="14">
        <f t="shared" si="8"/>
        <v>0</v>
      </c>
      <c r="U175" s="14">
        <v>0</v>
      </c>
      <c r="V175" s="14">
        <v>0</v>
      </c>
      <c r="W175" s="14">
        <v>0</v>
      </c>
      <c r="X175" s="14">
        <v>0</v>
      </c>
      <c r="Y175" s="14">
        <v>0</v>
      </c>
      <c r="Z175" s="14">
        <v>0</v>
      </c>
      <c r="AA175" s="14" t="s">
        <v>612</v>
      </c>
      <c r="AB175" s="16"/>
      <c r="AC175" s="16"/>
      <c r="AD175" s="16"/>
    </row>
    <row r="176" ht="14.25" customHeight="1" spans="1:30">
      <c r="A176" s="7">
        <f>176-5</f>
        <v>171</v>
      </c>
      <c r="B176" s="9" t="s">
        <v>6</v>
      </c>
      <c r="C176" s="10" t="s">
        <v>6</v>
      </c>
      <c r="D176" s="10" t="s">
        <v>6</v>
      </c>
      <c r="E176" s="10" t="s">
        <v>6</v>
      </c>
      <c r="F176" s="10" t="s">
        <v>6</v>
      </c>
      <c r="G176" s="9" t="s">
        <v>6</v>
      </c>
      <c r="H176" s="9" t="s">
        <v>373</v>
      </c>
      <c r="I176" s="9" t="s">
        <v>613</v>
      </c>
      <c r="J176" s="9"/>
      <c r="K176" s="9" t="s">
        <v>559</v>
      </c>
      <c r="L176" s="14">
        <v>8</v>
      </c>
      <c r="M176" s="14">
        <f t="shared" si="6"/>
        <v>8</v>
      </c>
      <c r="N176" s="14">
        <v>8</v>
      </c>
      <c r="O176" s="14">
        <v>0</v>
      </c>
      <c r="P176" s="14">
        <v>0</v>
      </c>
      <c r="Q176" s="14">
        <v>0</v>
      </c>
      <c r="R176" s="14">
        <v>0</v>
      </c>
      <c r="S176" s="14">
        <f t="shared" si="7"/>
        <v>0</v>
      </c>
      <c r="T176" s="14">
        <f t="shared" si="8"/>
        <v>0</v>
      </c>
      <c r="U176" s="14">
        <v>0</v>
      </c>
      <c r="V176" s="14">
        <v>0</v>
      </c>
      <c r="W176" s="14">
        <v>0</v>
      </c>
      <c r="X176" s="14">
        <v>0</v>
      </c>
      <c r="Y176" s="14">
        <v>0</v>
      </c>
      <c r="Z176" s="14">
        <v>0</v>
      </c>
      <c r="AA176" s="14" t="s">
        <v>612</v>
      </c>
      <c r="AB176" s="16"/>
      <c r="AC176" s="16"/>
      <c r="AD176" s="16"/>
    </row>
    <row r="177" ht="14.25" customHeight="1" spans="1:30">
      <c r="A177" s="7">
        <f>177-5</f>
        <v>172</v>
      </c>
      <c r="B177" s="9" t="s">
        <v>6</v>
      </c>
      <c r="C177" s="10" t="s">
        <v>675</v>
      </c>
      <c r="D177" s="10" t="s">
        <v>6</v>
      </c>
      <c r="E177" s="10" t="s">
        <v>6</v>
      </c>
      <c r="F177" s="10" t="s">
        <v>6</v>
      </c>
      <c r="G177" s="9" t="s">
        <v>6</v>
      </c>
      <c r="H177" s="9" t="s">
        <v>6</v>
      </c>
      <c r="I177" s="9" t="s">
        <v>6</v>
      </c>
      <c r="J177" s="9" t="s">
        <v>6</v>
      </c>
      <c r="K177" s="9" t="s">
        <v>6</v>
      </c>
      <c r="L177" s="14">
        <v>154.5</v>
      </c>
      <c r="M177" s="14">
        <f t="shared" si="6"/>
        <v>154.5</v>
      </c>
      <c r="N177" s="14">
        <v>154.5</v>
      </c>
      <c r="O177" s="14">
        <v>0</v>
      </c>
      <c r="P177" s="14">
        <v>0</v>
      </c>
      <c r="Q177" s="14">
        <v>0</v>
      </c>
      <c r="R177" s="14">
        <v>0</v>
      </c>
      <c r="S177" s="14">
        <f t="shared" si="7"/>
        <v>0</v>
      </c>
      <c r="T177" s="14">
        <f t="shared" si="8"/>
        <v>0</v>
      </c>
      <c r="U177" s="14">
        <v>0</v>
      </c>
      <c r="V177" s="14">
        <v>0</v>
      </c>
      <c r="W177" s="14">
        <v>0</v>
      </c>
      <c r="X177" s="14">
        <v>0</v>
      </c>
      <c r="Y177" s="14">
        <v>0</v>
      </c>
      <c r="Z177" s="14">
        <v>0</v>
      </c>
      <c r="AA177" s="14" t="s">
        <v>6</v>
      </c>
      <c r="AB177" s="16"/>
      <c r="AC177" s="16"/>
      <c r="AD177" s="16"/>
    </row>
    <row r="178" ht="14.25" customHeight="1" spans="1:30">
      <c r="A178" s="7">
        <f>178-5</f>
        <v>173</v>
      </c>
      <c r="B178" s="9" t="s">
        <v>6</v>
      </c>
      <c r="C178" s="10" t="s">
        <v>6</v>
      </c>
      <c r="D178" s="10" t="s">
        <v>676</v>
      </c>
      <c r="E178" s="10" t="s">
        <v>6</v>
      </c>
      <c r="F178" s="10" t="s">
        <v>6</v>
      </c>
      <c r="G178" s="9" t="s">
        <v>6</v>
      </c>
      <c r="H178" s="9" t="s">
        <v>6</v>
      </c>
      <c r="I178" s="9" t="s">
        <v>6</v>
      </c>
      <c r="J178" s="9" t="s">
        <v>6</v>
      </c>
      <c r="K178" s="9" t="s">
        <v>6</v>
      </c>
      <c r="L178" s="14">
        <v>154.5</v>
      </c>
      <c r="M178" s="14">
        <f t="shared" si="6"/>
        <v>154.5</v>
      </c>
      <c r="N178" s="14">
        <v>154.5</v>
      </c>
      <c r="O178" s="14">
        <v>0</v>
      </c>
      <c r="P178" s="14">
        <v>0</v>
      </c>
      <c r="Q178" s="14">
        <v>0</v>
      </c>
      <c r="R178" s="14">
        <v>0</v>
      </c>
      <c r="S178" s="14">
        <f t="shared" si="7"/>
        <v>0</v>
      </c>
      <c r="T178" s="14">
        <f t="shared" si="8"/>
        <v>0</v>
      </c>
      <c r="U178" s="14">
        <v>0</v>
      </c>
      <c r="V178" s="14">
        <v>0</v>
      </c>
      <c r="W178" s="14">
        <v>0</v>
      </c>
      <c r="X178" s="14">
        <v>0</v>
      </c>
      <c r="Y178" s="14">
        <v>0</v>
      </c>
      <c r="Z178" s="14">
        <v>0</v>
      </c>
      <c r="AA178" s="14" t="s">
        <v>6</v>
      </c>
      <c r="AB178" s="16"/>
      <c r="AC178" s="16"/>
      <c r="AD178" s="16"/>
    </row>
    <row r="179" ht="14.25" customHeight="1" spans="1:30">
      <c r="A179" s="7">
        <f>179-5</f>
        <v>174</v>
      </c>
      <c r="B179" s="9" t="s">
        <v>6</v>
      </c>
      <c r="C179" s="10" t="s">
        <v>6</v>
      </c>
      <c r="D179" s="10" t="s">
        <v>6</v>
      </c>
      <c r="E179" s="10" t="s">
        <v>677</v>
      </c>
      <c r="F179" s="10" t="s">
        <v>6</v>
      </c>
      <c r="G179" s="9" t="s">
        <v>6</v>
      </c>
      <c r="H179" s="9" t="s">
        <v>6</v>
      </c>
      <c r="I179" s="9" t="s">
        <v>6</v>
      </c>
      <c r="J179" s="9" t="s">
        <v>6</v>
      </c>
      <c r="K179" s="9" t="s">
        <v>6</v>
      </c>
      <c r="L179" s="14">
        <v>154.5</v>
      </c>
      <c r="M179" s="14">
        <f t="shared" si="6"/>
        <v>154.5</v>
      </c>
      <c r="N179" s="14">
        <v>154.5</v>
      </c>
      <c r="O179" s="14">
        <v>0</v>
      </c>
      <c r="P179" s="14">
        <v>0</v>
      </c>
      <c r="Q179" s="14">
        <v>0</v>
      </c>
      <c r="R179" s="14">
        <v>0</v>
      </c>
      <c r="S179" s="14">
        <f t="shared" si="7"/>
        <v>0</v>
      </c>
      <c r="T179" s="14">
        <f t="shared" si="8"/>
        <v>0</v>
      </c>
      <c r="U179" s="14">
        <v>0</v>
      </c>
      <c r="V179" s="14">
        <v>0</v>
      </c>
      <c r="W179" s="14">
        <v>0</v>
      </c>
      <c r="X179" s="14">
        <v>0</v>
      </c>
      <c r="Y179" s="14">
        <v>0</v>
      </c>
      <c r="Z179" s="14">
        <v>0</v>
      </c>
      <c r="AA179" s="14" t="s">
        <v>6</v>
      </c>
      <c r="AB179" s="16"/>
      <c r="AC179" s="16"/>
      <c r="AD179" s="16"/>
    </row>
    <row r="180" ht="14.25" customHeight="1" spans="1:30">
      <c r="A180" s="7">
        <f>180-5</f>
        <v>175</v>
      </c>
      <c r="B180" s="9" t="s">
        <v>6</v>
      </c>
      <c r="C180" s="10" t="s">
        <v>6</v>
      </c>
      <c r="D180" s="10" t="s">
        <v>6</v>
      </c>
      <c r="E180" s="10" t="s">
        <v>6</v>
      </c>
      <c r="F180" s="10" t="s">
        <v>530</v>
      </c>
      <c r="G180" s="9" t="s">
        <v>6</v>
      </c>
      <c r="H180" s="9" t="s">
        <v>6</v>
      </c>
      <c r="I180" s="9" t="s">
        <v>6</v>
      </c>
      <c r="J180" s="9" t="s">
        <v>6</v>
      </c>
      <c r="K180" s="9" t="s">
        <v>6</v>
      </c>
      <c r="L180" s="14">
        <v>154.5</v>
      </c>
      <c r="M180" s="14">
        <f t="shared" si="6"/>
        <v>154.5</v>
      </c>
      <c r="N180" s="14">
        <v>154.5</v>
      </c>
      <c r="O180" s="14">
        <v>0</v>
      </c>
      <c r="P180" s="14">
        <v>0</v>
      </c>
      <c r="Q180" s="14">
        <v>0</v>
      </c>
      <c r="R180" s="14">
        <v>0</v>
      </c>
      <c r="S180" s="14">
        <f t="shared" si="7"/>
        <v>0</v>
      </c>
      <c r="T180" s="14">
        <f t="shared" si="8"/>
        <v>0</v>
      </c>
      <c r="U180" s="14">
        <v>0</v>
      </c>
      <c r="V180" s="14">
        <v>0</v>
      </c>
      <c r="W180" s="14">
        <v>0</v>
      </c>
      <c r="X180" s="14">
        <v>0</v>
      </c>
      <c r="Y180" s="14">
        <v>0</v>
      </c>
      <c r="Z180" s="14">
        <v>0</v>
      </c>
      <c r="AA180" s="14" t="s">
        <v>6</v>
      </c>
      <c r="AB180" s="16"/>
      <c r="AC180" s="16"/>
      <c r="AD180" s="16"/>
    </row>
    <row r="181" ht="14.25" customHeight="1" spans="1:30">
      <c r="A181" s="7">
        <f>181-5</f>
        <v>176</v>
      </c>
      <c r="B181" s="9" t="s">
        <v>6</v>
      </c>
      <c r="C181" s="10" t="s">
        <v>6</v>
      </c>
      <c r="D181" s="10" t="s">
        <v>6</v>
      </c>
      <c r="E181" s="10" t="s">
        <v>6</v>
      </c>
      <c r="F181" s="10" t="s">
        <v>6</v>
      </c>
      <c r="G181" s="9" t="s">
        <v>537</v>
      </c>
      <c r="H181" s="9" t="s">
        <v>6</v>
      </c>
      <c r="I181" s="9" t="s">
        <v>6</v>
      </c>
      <c r="J181" s="9" t="s">
        <v>6</v>
      </c>
      <c r="K181" s="9" t="s">
        <v>6</v>
      </c>
      <c r="L181" s="14">
        <v>56.5</v>
      </c>
      <c r="M181" s="14">
        <f t="shared" si="6"/>
        <v>56.5</v>
      </c>
      <c r="N181" s="14">
        <v>56.5</v>
      </c>
      <c r="O181" s="14">
        <v>0</v>
      </c>
      <c r="P181" s="14">
        <v>0</v>
      </c>
      <c r="Q181" s="14">
        <v>0</v>
      </c>
      <c r="R181" s="14">
        <v>0</v>
      </c>
      <c r="S181" s="14">
        <f t="shared" si="7"/>
        <v>0</v>
      </c>
      <c r="T181" s="14">
        <f t="shared" si="8"/>
        <v>0</v>
      </c>
      <c r="U181" s="14">
        <v>0</v>
      </c>
      <c r="V181" s="14">
        <v>0</v>
      </c>
      <c r="W181" s="14">
        <v>0</v>
      </c>
      <c r="X181" s="14">
        <v>0</v>
      </c>
      <c r="Y181" s="14">
        <v>0</v>
      </c>
      <c r="Z181" s="14">
        <v>0</v>
      </c>
      <c r="AA181" s="14" t="s">
        <v>6</v>
      </c>
      <c r="AB181" s="16"/>
      <c r="AC181" s="16"/>
      <c r="AD181" s="16"/>
    </row>
    <row r="182" ht="14.25" customHeight="1" spans="1:30">
      <c r="A182" s="7">
        <f>182-5</f>
        <v>177</v>
      </c>
      <c r="B182" s="9" t="s">
        <v>6</v>
      </c>
      <c r="C182" s="10" t="s">
        <v>6</v>
      </c>
      <c r="D182" s="10" t="s">
        <v>6</v>
      </c>
      <c r="E182" s="10" t="s">
        <v>6</v>
      </c>
      <c r="F182" s="10" t="s">
        <v>6</v>
      </c>
      <c r="G182" s="9" t="s">
        <v>6</v>
      </c>
      <c r="H182" s="9" t="s">
        <v>538</v>
      </c>
      <c r="I182" s="9" t="s">
        <v>668</v>
      </c>
      <c r="J182" s="9"/>
      <c r="K182" s="9" t="s">
        <v>600</v>
      </c>
      <c r="L182" s="14">
        <v>56.5</v>
      </c>
      <c r="M182" s="14">
        <f t="shared" si="6"/>
        <v>56.5</v>
      </c>
      <c r="N182" s="14">
        <v>56.5</v>
      </c>
      <c r="O182" s="14">
        <v>0</v>
      </c>
      <c r="P182" s="14">
        <v>0</v>
      </c>
      <c r="Q182" s="14">
        <v>0</v>
      </c>
      <c r="R182" s="14">
        <v>0</v>
      </c>
      <c r="S182" s="14">
        <f t="shared" si="7"/>
        <v>0</v>
      </c>
      <c r="T182" s="14">
        <f t="shared" si="8"/>
        <v>0</v>
      </c>
      <c r="U182" s="14">
        <v>0</v>
      </c>
      <c r="V182" s="14">
        <v>0</v>
      </c>
      <c r="W182" s="14">
        <v>0</v>
      </c>
      <c r="X182" s="14">
        <v>0</v>
      </c>
      <c r="Y182" s="14">
        <v>0</v>
      </c>
      <c r="Z182" s="14">
        <v>0</v>
      </c>
      <c r="AA182" s="14" t="s">
        <v>612</v>
      </c>
      <c r="AB182" s="16"/>
      <c r="AC182" s="16"/>
      <c r="AD182" s="16"/>
    </row>
    <row r="183" ht="14.25" customHeight="1" spans="1:30">
      <c r="A183" s="7">
        <f>183-5</f>
        <v>178</v>
      </c>
      <c r="B183" s="9" t="s">
        <v>6</v>
      </c>
      <c r="C183" s="10" t="s">
        <v>6</v>
      </c>
      <c r="D183" s="10" t="s">
        <v>6</v>
      </c>
      <c r="E183" s="10" t="s">
        <v>6</v>
      </c>
      <c r="F183" s="10" t="s">
        <v>6</v>
      </c>
      <c r="G183" s="9" t="s">
        <v>534</v>
      </c>
      <c r="H183" s="9" t="s">
        <v>6</v>
      </c>
      <c r="I183" s="9" t="s">
        <v>6</v>
      </c>
      <c r="J183" s="9" t="s">
        <v>6</v>
      </c>
      <c r="K183" s="9" t="s">
        <v>6</v>
      </c>
      <c r="L183" s="14">
        <v>98</v>
      </c>
      <c r="M183" s="14">
        <f t="shared" si="6"/>
        <v>98</v>
      </c>
      <c r="N183" s="14">
        <v>98</v>
      </c>
      <c r="O183" s="14">
        <v>0</v>
      </c>
      <c r="P183" s="14">
        <v>0</v>
      </c>
      <c r="Q183" s="14">
        <v>0</v>
      </c>
      <c r="R183" s="14">
        <v>0</v>
      </c>
      <c r="S183" s="14">
        <f t="shared" si="7"/>
        <v>0</v>
      </c>
      <c r="T183" s="14">
        <f t="shared" si="8"/>
        <v>0</v>
      </c>
      <c r="U183" s="14">
        <v>0</v>
      </c>
      <c r="V183" s="14">
        <v>0</v>
      </c>
      <c r="W183" s="14">
        <v>0</v>
      </c>
      <c r="X183" s="14">
        <v>0</v>
      </c>
      <c r="Y183" s="14">
        <v>0</v>
      </c>
      <c r="Z183" s="14">
        <v>0</v>
      </c>
      <c r="AA183" s="14" t="s">
        <v>6</v>
      </c>
      <c r="AB183" s="16"/>
      <c r="AC183" s="16"/>
      <c r="AD183" s="16"/>
    </row>
    <row r="184" ht="14.25" customHeight="1" spans="1:30">
      <c r="A184" s="7">
        <f>184-5</f>
        <v>179</v>
      </c>
      <c r="B184" s="9" t="s">
        <v>6</v>
      </c>
      <c r="C184" s="10" t="s">
        <v>6</v>
      </c>
      <c r="D184" s="10" t="s">
        <v>6</v>
      </c>
      <c r="E184" s="10" t="s">
        <v>6</v>
      </c>
      <c r="F184" s="10" t="s">
        <v>6</v>
      </c>
      <c r="G184" s="9" t="s">
        <v>6</v>
      </c>
      <c r="H184" s="9" t="s">
        <v>536</v>
      </c>
      <c r="I184" s="9" t="s">
        <v>666</v>
      </c>
      <c r="J184" s="9"/>
      <c r="K184" s="9" t="s">
        <v>600</v>
      </c>
      <c r="L184" s="14">
        <v>98</v>
      </c>
      <c r="M184" s="14">
        <f t="shared" si="6"/>
        <v>98</v>
      </c>
      <c r="N184" s="14">
        <v>98</v>
      </c>
      <c r="O184" s="14">
        <v>0</v>
      </c>
      <c r="P184" s="14">
        <v>0</v>
      </c>
      <c r="Q184" s="14">
        <v>0</v>
      </c>
      <c r="R184" s="14">
        <v>0</v>
      </c>
      <c r="S184" s="14">
        <f t="shared" si="7"/>
        <v>0</v>
      </c>
      <c r="T184" s="14">
        <f t="shared" si="8"/>
        <v>0</v>
      </c>
      <c r="U184" s="14">
        <v>0</v>
      </c>
      <c r="V184" s="14">
        <v>0</v>
      </c>
      <c r="W184" s="14">
        <v>0</v>
      </c>
      <c r="X184" s="14">
        <v>0</v>
      </c>
      <c r="Y184" s="14">
        <v>0</v>
      </c>
      <c r="Z184" s="14">
        <v>0</v>
      </c>
      <c r="AA184" s="14" t="s">
        <v>612</v>
      </c>
      <c r="AB184" s="16"/>
      <c r="AC184" s="16"/>
      <c r="AD184" s="16"/>
    </row>
    <row r="185" ht="14.25" customHeight="1" spans="1:30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</row>
    <row r="186" ht="14.25" customHeight="1" spans="1:30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</row>
    <row r="187" ht="14.25" customHeight="1" spans="1:30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</row>
    <row r="188" ht="14.25" customHeight="1" spans="1:30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</row>
    <row r="189" ht="14.25" customHeight="1" spans="1:30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</row>
    <row r="190" ht="14.25" customHeight="1" spans="1:3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</row>
    <row r="191" ht="14.25" customHeight="1" spans="1:30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</row>
    <row r="192" ht="14.25" customHeight="1" spans="1:30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</row>
    <row r="193" ht="14.25" customHeight="1" spans="1:30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</row>
    <row r="194" ht="14.25" customHeight="1" spans="1:30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</row>
    <row r="195" ht="14.25" customHeight="1" spans="1:30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</row>
    <row r="196" ht="14.25" customHeight="1" spans="1:30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</row>
    <row r="197" ht="14.25" customHeight="1" spans="1:30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</row>
    <row r="198" ht="14.25" customHeight="1" spans="1:30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</row>
    <row r="199" ht="14.25" customHeight="1" spans="1:30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</row>
    <row r="200" ht="14.25" customHeight="1" spans="1:3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</row>
    <row r="201" ht="14.25" customHeight="1" spans="1:30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</row>
    <row r="202" ht="14.25" customHeight="1" spans="1:30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</row>
    <row r="203" ht="14.25" customHeight="1" spans="1:30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</row>
    <row r="204" ht="14.25" customHeight="1" spans="1:30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</row>
    <row r="205" ht="14.25" customHeight="1" spans="1:30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</row>
    <row r="206" ht="14.25" customHeight="1" spans="1:30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</row>
    <row r="207" ht="14.25" customHeight="1" spans="1:30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</row>
    <row r="208" ht="14.25" customHeight="1" spans="1:30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</row>
    <row r="209" ht="14.25" customHeight="1" spans="1:30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</row>
    <row r="210" ht="14.25" customHeight="1" spans="1:3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</row>
    <row r="211" ht="14.25" customHeight="1" spans="1:30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</row>
    <row r="212" ht="14.25" customHeight="1" spans="1:30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</row>
    <row r="213" ht="14.25" customHeight="1" spans="1:30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</row>
    <row r="214" ht="14.25" customHeight="1" spans="1:30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</row>
    <row r="215" ht="14.25" customHeight="1" spans="1:30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</row>
    <row r="216" ht="14.25" customHeight="1" spans="1:30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</row>
    <row r="217" ht="14.25" customHeight="1" spans="1:30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</row>
    <row r="218" ht="14.25" customHeight="1" spans="1:30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</row>
    <row r="219" ht="14.25" customHeight="1" spans="1:30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</row>
    <row r="220" ht="14.25" customHeight="1" spans="1:3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</row>
    <row r="221" ht="14.25" customHeight="1" spans="1:30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</row>
    <row r="222" ht="14.25" customHeight="1" spans="1:30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</row>
    <row r="223" ht="14.25" customHeight="1" spans="1:30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</row>
    <row r="224" ht="14.25" customHeight="1" spans="1:30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</row>
    <row r="225" ht="14.25" customHeight="1" spans="1:30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</row>
    <row r="226" ht="14.25" customHeight="1" spans="1:30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</row>
    <row r="227" ht="14.25" customHeight="1" spans="1:30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</row>
    <row r="228" ht="14.25" customHeight="1" spans="1:30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</row>
    <row r="229" ht="14.25" customHeight="1" spans="1:30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</row>
    <row r="230" ht="14.25" customHeight="1" spans="1: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</row>
    <row r="231" ht="14.25" customHeight="1" spans="1:30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</row>
    <row r="232" ht="14.25" customHeight="1" spans="1:30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</row>
    <row r="233" ht="14.25" customHeight="1" spans="1:30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</row>
    <row r="234" ht="14.25" customHeight="1" spans="1:30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</row>
    <row r="235" ht="14.25" customHeight="1" spans="1:30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</row>
    <row r="236" ht="14.25" customHeight="1" spans="1:30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</row>
    <row r="237" ht="14.25" customHeight="1" spans="1:30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</row>
    <row r="238" ht="14.25" customHeight="1" spans="1:30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</row>
    <row r="239" ht="14.25" customHeight="1" spans="1:30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</row>
    <row r="240" ht="14.25" customHeight="1" spans="1:3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</row>
    <row r="241" ht="14.25" customHeight="1" spans="1:30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</row>
    <row r="242" ht="14.25" customHeight="1" spans="1:30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</row>
    <row r="243" ht="14.25" customHeight="1" spans="1:30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</row>
    <row r="244" ht="14.25" customHeight="1" spans="1:30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</row>
    <row r="245" ht="14.25" customHeight="1" spans="1:30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</row>
    <row r="246" ht="14.25" customHeight="1" spans="1:30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</row>
    <row r="247" ht="14.25" customHeight="1" spans="1:30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</row>
    <row r="248" ht="14.25" customHeight="1" spans="1:30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</row>
    <row r="249" ht="14.25" customHeight="1" spans="1:30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</row>
    <row r="250" ht="14.25" customHeight="1" spans="1:3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</row>
  </sheetData>
  <mergeCells count="22">
    <mergeCell ref="A1:AA1"/>
    <mergeCell ref="A2:G2"/>
    <mergeCell ref="N2:AA2"/>
    <mergeCell ref="M3:Z3"/>
    <mergeCell ref="M4:P4"/>
    <mergeCell ref="T4:Y4"/>
    <mergeCell ref="B6:K6"/>
    <mergeCell ref="A3:A5"/>
    <mergeCell ref="B3:B5"/>
    <mergeCell ref="F3:F5"/>
    <mergeCell ref="G3:G5"/>
    <mergeCell ref="H3:H5"/>
    <mergeCell ref="I3:I5"/>
    <mergeCell ref="J3:J5"/>
    <mergeCell ref="K3:K5"/>
    <mergeCell ref="L3:L5"/>
    <mergeCell ref="Q4:Q5"/>
    <mergeCell ref="R4:R5"/>
    <mergeCell ref="S4:S5"/>
    <mergeCell ref="Z4:Z5"/>
    <mergeCell ref="AA3:AA5"/>
    <mergeCell ref="C3:E4"/>
  </mergeCells>
  <printOptions horizontalCentered="1"/>
  <pageMargins left="0" right="0" top="0.15748031496063" bottom="0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浦东新区2025年单位预算指标下达表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骅子lily</cp:lastModifiedBy>
  <dcterms:created xsi:type="dcterms:W3CDTF">2024-01-26T15:20:00Z</dcterms:created>
  <cp:lastPrinted>2024-01-29T03:06:00Z</cp:lastPrinted>
  <dcterms:modified xsi:type="dcterms:W3CDTF">2025-02-06T09:39:46Z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0FF7A673CE684B07B738907E785D22F6_13</vt:lpwstr>
  </property>
  <property fmtid="{D5CDD505-2E9C-101B-9397-08002B2CF9AE}" pid="3" name="KSOProductBuildVer">
    <vt:lpwstr>2052-12.1.0.19302</vt:lpwstr>
  </property>
</Properties>
</file>